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uminorgroup-my.sharepoint.com/personal/katrina_muizniece_luminorgroup_com/Documents/FNA/"/>
    </mc:Choice>
  </mc:AlternateContent>
  <xr:revisionPtr revIDLastSave="1" documentId="11_CE2371B2DD090623C0167A7661331712BDF025D6" xr6:coauthVersionLast="47" xr6:coauthVersionMax="47" xr10:uidLastSave="{A6A13C6A-292E-4FE1-A395-AD02D8797EE0}"/>
  <workbookProtection workbookAlgorithmName="SHA-512" workbookHashValue="BrZUPg8boDlQJYw60AcBzU3ztc5u2Re5rQAyG4u0PFylnjfWvGaNMSQb5oImU4rYBCW+D16BSFt5PO2/QE8pKg==" workbookSaltValue="lBXgJAMjHVc894nnw+6nMw==" workbookSpinCount="100000" lockStructure="1"/>
  <bookViews>
    <workbookView xWindow="28680" yWindow="-2985" windowWidth="29040" windowHeight="15840" tabRatio="743" xr2:uid="{34832E09-F0A7-448C-9BDE-6302925D5B2B}"/>
  </bookViews>
  <sheets>
    <sheet name="Ievads" sheetId="1" r:id="rId1"/>
    <sheet name="Informācija" sheetId="24" r:id="rId2"/>
    <sheet name="1. tvēruma emisijas" sheetId="16" r:id="rId3"/>
    <sheet name="2. tvēruma emisijas" sheetId="18" r:id="rId4"/>
    <sheet name="Ziņojums" sheetId="19" r:id="rId5"/>
    <sheet name="Back-end &gt;&gt;&gt;" sheetId="7" state="hidden" r:id="rId6"/>
    <sheet name="Calculations" sheetId="20" state="hidden" r:id="rId7"/>
    <sheet name="Carbon Factors" sheetId="34" state="hidden" r:id="rId8"/>
    <sheet name="Fuel prices" sheetId="35" state="hidden" r:id="rId9"/>
    <sheet name="Benchmark CIBSE" sheetId="23" state="hidden" r:id="rId10"/>
    <sheet name="Conversion_factors" sheetId="33" state="hidden" r:id="rId11"/>
  </sheets>
  <definedNames>
    <definedName name="_xlnm._FilterDatabase" localSheetId="7" hidden="1">'Carbon Factors'!$A$1:$L$456</definedName>
    <definedName name="_xlchart.v1.0" hidden="1">(Ziņojums!$E$16,Ziņojums!$E$22,Ziņojums!$E$28)</definedName>
    <definedName name="_xlchart.v1.1" hidden="1">Ziņojums!$M$56:$M$58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20" l="1"/>
  <c r="D74" i="20"/>
  <c r="E29" i="19"/>
  <c r="E28" i="19" l="1"/>
  <c r="O27" i="20" l="1"/>
  <c r="O28" i="20"/>
  <c r="O26" i="20"/>
  <c r="O21" i="20"/>
  <c r="O22" i="20"/>
  <c r="O20" i="20"/>
  <c r="O18" i="20"/>
  <c r="O19" i="20"/>
  <c r="O17" i="20"/>
  <c r="F431" i="34"/>
  <c r="F430" i="34"/>
  <c r="F421" i="34"/>
  <c r="F420" i="34"/>
  <c r="F419" i="34"/>
  <c r="F418" i="34"/>
  <c r="F417" i="34"/>
  <c r="F416" i="34"/>
  <c r="F415" i="34"/>
  <c r="F414" i="34"/>
  <c r="F413" i="34"/>
  <c r="F412" i="34"/>
  <c r="F303" i="34"/>
  <c r="F302" i="34"/>
  <c r="F301" i="34"/>
  <c r="F300" i="34"/>
  <c r="F299" i="34"/>
  <c r="F298" i="34"/>
  <c r="F297" i="34"/>
  <c r="F296" i="34"/>
  <c r="F295" i="34"/>
  <c r="F294" i="34"/>
  <c r="F293" i="34"/>
  <c r="F292" i="34"/>
  <c r="F291" i="34"/>
  <c r="F290" i="34"/>
  <c r="F289" i="34"/>
  <c r="F288" i="34"/>
  <c r="F287" i="34"/>
  <c r="F286" i="34"/>
  <c r="F285" i="34"/>
  <c r="F284" i="34"/>
  <c r="F283" i="34"/>
  <c r="F282" i="34"/>
  <c r="F281" i="34"/>
  <c r="G280" i="34"/>
  <c r="F280" i="34" s="1"/>
  <c r="F279" i="34"/>
  <c r="F270" i="34"/>
  <c r="F269" i="34"/>
  <c r="F268" i="34"/>
  <c r="F267" i="34"/>
  <c r="F265" i="34"/>
  <c r="F264" i="34"/>
  <c r="F263" i="34"/>
  <c r="F262" i="34"/>
  <c r="F260" i="34"/>
  <c r="F255" i="34"/>
  <c r="F252" i="34"/>
  <c r="F250" i="34"/>
  <c r="F247" i="34"/>
  <c r="F242" i="34"/>
  <c r="F240" i="34"/>
  <c r="F239" i="34"/>
  <c r="F237" i="34"/>
  <c r="F236" i="34"/>
  <c r="N6" i="20" s="1"/>
  <c r="F235" i="34"/>
  <c r="F232" i="34"/>
  <c r="F231" i="34"/>
  <c r="F230" i="34"/>
  <c r="F229" i="34"/>
  <c r="F228" i="34"/>
  <c r="F227" i="34"/>
  <c r="F226" i="34"/>
  <c r="F225" i="34"/>
  <c r="F224" i="34"/>
  <c r="F223" i="34"/>
  <c r="F222" i="34"/>
  <c r="F221" i="34"/>
  <c r="G220" i="34"/>
  <c r="F220" i="34" s="1"/>
  <c r="F219" i="34"/>
  <c r="F218" i="34"/>
  <c r="F217" i="34"/>
  <c r="F216" i="34"/>
  <c r="F215" i="34"/>
  <c r="F214" i="34"/>
  <c r="F213" i="34"/>
  <c r="F212" i="34"/>
  <c r="G211" i="34"/>
  <c r="F211" i="34" s="1"/>
  <c r="F210" i="34"/>
  <c r="F209" i="34"/>
  <c r="F208" i="34"/>
  <c r="F207" i="34"/>
  <c r="F203" i="34"/>
  <c r="F202" i="34"/>
  <c r="F193" i="34"/>
  <c r="F192" i="34"/>
  <c r="F188" i="34"/>
  <c r="F187" i="34"/>
  <c r="F183" i="34"/>
  <c r="F182" i="34"/>
  <c r="F173" i="34"/>
  <c r="F172" i="34"/>
  <c r="F168" i="34"/>
  <c r="F167" i="34"/>
  <c r="F163" i="34"/>
  <c r="F162" i="34"/>
  <c r="F158" i="34"/>
  <c r="F157" i="34"/>
  <c r="F153" i="34"/>
  <c r="F152" i="34"/>
  <c r="F123" i="34"/>
  <c r="F122" i="34"/>
  <c r="F113" i="34"/>
  <c r="F112" i="34"/>
  <c r="F111" i="34"/>
  <c r="F110" i="34"/>
  <c r="F109" i="34"/>
  <c r="F108" i="34"/>
  <c r="F107" i="34"/>
  <c r="F106" i="34"/>
  <c r="F105" i="34"/>
  <c r="F104" i="34"/>
  <c r="F78" i="34"/>
  <c r="F77" i="34"/>
  <c r="F68" i="34"/>
  <c r="F67" i="34"/>
  <c r="F66" i="34"/>
  <c r="F65" i="34"/>
  <c r="F64" i="34"/>
  <c r="F63" i="34"/>
  <c r="F62" i="34"/>
  <c r="F61" i="34"/>
  <c r="F60" i="34"/>
  <c r="F59" i="34"/>
  <c r="F52" i="34"/>
  <c r="F51" i="34"/>
  <c r="F50" i="34"/>
  <c r="F49" i="34"/>
  <c r="F48" i="34"/>
  <c r="F47" i="34"/>
  <c r="F46" i="34"/>
  <c r="F45" i="34"/>
  <c r="F44" i="34"/>
  <c r="F43" i="34"/>
  <c r="F42" i="34"/>
  <c r="F41" i="34"/>
  <c r="F40" i="34"/>
  <c r="F39" i="34"/>
  <c r="F38" i="34"/>
  <c r="F37" i="34"/>
  <c r="F36" i="34"/>
  <c r="F35" i="34"/>
  <c r="F34" i="34"/>
  <c r="F33" i="34"/>
  <c r="F32" i="34"/>
  <c r="F31" i="34"/>
  <c r="F30" i="34"/>
  <c r="F29" i="34"/>
  <c r="H28" i="34"/>
  <c r="F28" i="34"/>
  <c r="H27" i="34"/>
  <c r="F27" i="34" s="1"/>
  <c r="H26" i="34"/>
  <c r="F26" i="34" s="1"/>
  <c r="H25" i="34"/>
  <c r="F25" i="34" s="1"/>
  <c r="H24" i="34"/>
  <c r="F24" i="34"/>
  <c r="H23" i="34"/>
  <c r="F23" i="34" s="1"/>
  <c r="H22" i="34"/>
  <c r="F22" i="34"/>
  <c r="H21" i="34"/>
  <c r="F21" i="34"/>
  <c r="H20" i="34"/>
  <c r="F20" i="34" s="1"/>
  <c r="H19" i="34"/>
  <c r="F19" i="34"/>
  <c r="H18" i="34"/>
  <c r="F18" i="34" s="1"/>
  <c r="H17" i="34"/>
  <c r="F17" i="34"/>
  <c r="H16" i="34"/>
  <c r="F16" i="34" s="1"/>
  <c r="H15" i="34"/>
  <c r="F15" i="34"/>
  <c r="H14" i="34"/>
  <c r="F14" i="34" s="1"/>
  <c r="H13" i="34"/>
  <c r="F13" i="34" s="1"/>
  <c r="H12" i="34"/>
  <c r="F12" i="34"/>
  <c r="H11" i="34"/>
  <c r="F11" i="34"/>
  <c r="H10" i="34"/>
  <c r="F10" i="34" s="1"/>
  <c r="H9" i="34"/>
  <c r="F9" i="34" s="1"/>
  <c r="H8" i="34"/>
  <c r="F8" i="34" s="1"/>
  <c r="H7" i="34"/>
  <c r="F7" i="34" s="1"/>
  <c r="H6" i="34"/>
  <c r="F6" i="34" s="1"/>
  <c r="H5" i="34"/>
  <c r="F5" i="34" s="1"/>
  <c r="F4" i="34"/>
  <c r="F3" i="34"/>
  <c r="F2" i="34"/>
  <c r="N13" i="20"/>
  <c r="N14" i="20"/>
  <c r="N15" i="20"/>
  <c r="N12" i="20"/>
  <c r="N7" i="20"/>
  <c r="N8" i="20"/>
  <c r="N9" i="20"/>
  <c r="N10" i="20"/>
  <c r="N5" i="20"/>
  <c r="B83" i="20" a="1"/>
  <c r="B83" i="20" s="1"/>
  <c r="B82" i="20" a="1"/>
  <c r="B82" i="20" s="1"/>
  <c r="B81" i="20" a="1"/>
  <c r="B81" i="20" s="1"/>
  <c r="E25" i="19"/>
  <c r="G20" i="20"/>
  <c r="D75" i="20" l="1"/>
  <c r="B75" i="20" a="1"/>
  <c r="B75" i="20" s="1"/>
  <c r="C75" i="20" s="1"/>
  <c r="E75" i="20"/>
  <c r="Q75" i="20" s="1"/>
  <c r="W75" i="20" s="1"/>
  <c r="D72" i="20"/>
  <c r="E72" i="20"/>
  <c r="Q72" i="20" s="1"/>
  <c r="W72" i="20" s="1"/>
  <c r="B72" i="20" a="1"/>
  <c r="B72" i="20" s="1"/>
  <c r="C72" i="20" s="1"/>
  <c r="G18" i="20"/>
  <c r="L18" i="20" s="1"/>
  <c r="G19" i="20"/>
  <c r="L19" i="20" s="1"/>
  <c r="L20" i="20"/>
  <c r="G21" i="20"/>
  <c r="L21" i="20" s="1"/>
  <c r="G22" i="20"/>
  <c r="L22" i="20" s="1"/>
  <c r="G26" i="20"/>
  <c r="L26" i="20" s="1"/>
  <c r="G27" i="20"/>
  <c r="L27" i="20" s="1"/>
  <c r="G28" i="20"/>
  <c r="L28" i="20" s="1"/>
  <c r="G17" i="20"/>
  <c r="L17" i="20" s="1"/>
  <c r="D12" i="35"/>
  <c r="E12" i="35"/>
  <c r="F12" i="35"/>
  <c r="G12" i="35"/>
  <c r="H12" i="35"/>
  <c r="I12" i="35"/>
  <c r="J12" i="35"/>
  <c r="K12" i="35"/>
  <c r="D13" i="35"/>
  <c r="E13" i="35"/>
  <c r="F13" i="35"/>
  <c r="G13" i="35"/>
  <c r="H13" i="35"/>
  <c r="I13" i="35"/>
  <c r="J13" i="35"/>
  <c r="K13" i="35"/>
  <c r="D14" i="35"/>
  <c r="E14" i="35"/>
  <c r="F14" i="35"/>
  <c r="G14" i="35"/>
  <c r="H14" i="35"/>
  <c r="I14" i="35"/>
  <c r="J14" i="35"/>
  <c r="K14" i="35"/>
  <c r="D15" i="35"/>
  <c r="E15" i="35"/>
  <c r="F15" i="35"/>
  <c r="G15" i="35"/>
  <c r="H15" i="35"/>
  <c r="I15" i="35"/>
  <c r="J15" i="35"/>
  <c r="K15" i="35"/>
  <c r="D16" i="35"/>
  <c r="E16" i="35"/>
  <c r="F16" i="35"/>
  <c r="G16" i="35"/>
  <c r="H16" i="35"/>
  <c r="I16" i="35"/>
  <c r="J16" i="35"/>
  <c r="K16" i="35"/>
  <c r="C13" i="35"/>
  <c r="C14" i="35"/>
  <c r="C15" i="35"/>
  <c r="C16" i="35"/>
  <c r="C12" i="35"/>
  <c r="G72" i="20" l="1"/>
  <c r="G75" i="20"/>
  <c r="M75" i="20"/>
  <c r="M72" i="20"/>
  <c r="AH13" i="20"/>
  <c r="F21" i="20"/>
  <c r="N21" i="20" s="1"/>
  <c r="F67" i="20"/>
  <c r="F61" i="20"/>
  <c r="AH14" i="20"/>
  <c r="AH15" i="20"/>
  <c r="AH12" i="20"/>
  <c r="B86" i="20" a="1"/>
  <c r="B86" i="20" s="1"/>
  <c r="B87" i="20" a="1"/>
  <c r="B87" i="20" s="1"/>
  <c r="P72" i="20" l="1"/>
  <c r="V72" i="20" s="1"/>
  <c r="X72" i="20" s="1"/>
  <c r="P75" i="20"/>
  <c r="V75" i="20" s="1"/>
  <c r="X75" i="20" s="1"/>
  <c r="C81" i="20"/>
  <c r="B80" i="20"/>
  <c r="C80" i="20" s="1"/>
  <c r="B79" i="20"/>
  <c r="C79" i="20" s="1"/>
  <c r="C82" i="20"/>
  <c r="C86" i="20"/>
  <c r="C87" i="20"/>
  <c r="B85" i="20" a="1"/>
  <c r="B85" i="20" s="1"/>
  <c r="C37" i="20"/>
  <c r="F86" i="20"/>
  <c r="N86" i="20" s="1"/>
  <c r="F87" i="20"/>
  <c r="N87" i="20" s="1"/>
  <c r="F85" i="20"/>
  <c r="N85" i="20" s="1"/>
  <c r="AC47" i="20"/>
  <c r="AC45" i="20"/>
  <c r="AC34" i="20"/>
  <c r="F64" i="20"/>
  <c r="F65" i="20"/>
  <c r="F66" i="20"/>
  <c r="F68" i="20"/>
  <c r="F69" i="20"/>
  <c r="F70" i="20"/>
  <c r="F63" i="20"/>
  <c r="F56" i="20"/>
  <c r="F57" i="20"/>
  <c r="F58" i="20"/>
  <c r="F59" i="20"/>
  <c r="F60" i="20"/>
  <c r="F62" i="20"/>
  <c r="F55" i="20"/>
  <c r="E71" i="20"/>
  <c r="E73" i="20"/>
  <c r="E74" i="20"/>
  <c r="E48" i="20"/>
  <c r="E49" i="20"/>
  <c r="E50" i="20"/>
  <c r="E51" i="20"/>
  <c r="E52" i="20"/>
  <c r="E53" i="20"/>
  <c r="E54" i="20"/>
  <c r="E55" i="20"/>
  <c r="E56" i="20"/>
  <c r="E57" i="20"/>
  <c r="E58" i="20"/>
  <c r="E59" i="20"/>
  <c r="E60" i="20"/>
  <c r="E61" i="20"/>
  <c r="E62" i="20"/>
  <c r="E63" i="20"/>
  <c r="E64" i="20"/>
  <c r="E65" i="20"/>
  <c r="E66" i="20"/>
  <c r="E67" i="20"/>
  <c r="E68" i="20"/>
  <c r="E69" i="20"/>
  <c r="E70" i="20"/>
  <c r="E47" i="20"/>
  <c r="D71" i="20"/>
  <c r="B48" i="20" a="1"/>
  <c r="B48" i="20" s="1"/>
  <c r="C48" i="20" s="1"/>
  <c r="G48" i="20" s="1"/>
  <c r="B49" i="20" a="1"/>
  <c r="B49" i="20" s="1"/>
  <c r="C49" i="20" s="1"/>
  <c r="G49" i="20" s="1"/>
  <c r="B50" i="20" a="1"/>
  <c r="B50" i="20" s="1"/>
  <c r="C50" i="20" s="1"/>
  <c r="G50" i="20" s="1"/>
  <c r="B51" i="20" a="1"/>
  <c r="B51" i="20" s="1"/>
  <c r="C51" i="20" s="1"/>
  <c r="G51" i="20" s="1"/>
  <c r="B52" i="20" a="1"/>
  <c r="B52" i="20" s="1"/>
  <c r="C52" i="20" s="1"/>
  <c r="G52" i="20" s="1"/>
  <c r="B53" i="20" a="1"/>
  <c r="B53" i="20" s="1"/>
  <c r="C53" i="20" s="1"/>
  <c r="G53" i="20" s="1"/>
  <c r="B54" i="20" a="1"/>
  <c r="B54" i="20" s="1"/>
  <c r="C54" i="20" s="1"/>
  <c r="G54" i="20" s="1"/>
  <c r="B55" i="20" a="1"/>
  <c r="B55" i="20" s="1"/>
  <c r="C55" i="20" s="1"/>
  <c r="B56" i="20" a="1"/>
  <c r="B56" i="20" s="1"/>
  <c r="C56" i="20" s="1"/>
  <c r="B57" i="20" a="1"/>
  <c r="B57" i="20" s="1"/>
  <c r="C57" i="20" s="1"/>
  <c r="B58" i="20" a="1"/>
  <c r="B58" i="20" s="1"/>
  <c r="C58" i="20" s="1"/>
  <c r="B59" i="20" a="1"/>
  <c r="B59" i="20" s="1"/>
  <c r="C59" i="20" s="1"/>
  <c r="B60" i="20" a="1"/>
  <c r="B60" i="20" s="1"/>
  <c r="C60" i="20" s="1"/>
  <c r="B61" i="20" a="1"/>
  <c r="B61" i="20" s="1"/>
  <c r="C61" i="20" s="1"/>
  <c r="G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3" i="20" a="1"/>
  <c r="B73" i="20" s="1"/>
  <c r="C73" i="20" s="1"/>
  <c r="B74" i="20" a="1"/>
  <c r="B74" i="20" s="1"/>
  <c r="C74" i="20" s="1"/>
  <c r="B47" i="20" a="1"/>
  <c r="B47" i="20" s="1"/>
  <c r="C47" i="20" s="1"/>
  <c r="G47"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5" i="20"/>
  <c r="B35" i="20"/>
  <c r="B36" i="20"/>
  <c r="B37" i="20"/>
  <c r="B38" i="20"/>
  <c r="B39" i="20"/>
  <c r="B40" i="20"/>
  <c r="B41" i="20"/>
  <c r="B42" i="20"/>
  <c r="B43" i="20"/>
  <c r="B34" i="20"/>
  <c r="I83" i="20"/>
  <c r="I82" i="20"/>
  <c r="I81" i="20"/>
  <c r="I80" i="20"/>
  <c r="I79" i="20"/>
  <c r="I78" i="20"/>
  <c r="F83" i="20"/>
  <c r="S83" i="20" s="1"/>
  <c r="F82" i="20"/>
  <c r="F80" i="20"/>
  <c r="F79" i="20"/>
  <c r="D83" i="20"/>
  <c r="E83" i="20" s="1"/>
  <c r="D82" i="20"/>
  <c r="E82" i="20" s="1"/>
  <c r="D81" i="20"/>
  <c r="D80" i="20"/>
  <c r="E80" i="20" s="1"/>
  <c r="M80" i="20" s="1"/>
  <c r="D79" i="20"/>
  <c r="E79" i="20" s="1"/>
  <c r="M79" i="20" s="1"/>
  <c r="D78" i="20"/>
  <c r="I86" i="20"/>
  <c r="I87" i="20"/>
  <c r="I85" i="20"/>
  <c r="D86" i="20"/>
  <c r="E86" i="20" s="1"/>
  <c r="M86" i="20" s="1"/>
  <c r="D87" i="20"/>
  <c r="D85" i="20"/>
  <c r="Y23" i="20"/>
  <c r="Y24" i="20"/>
  <c r="Y25" i="20"/>
  <c r="S18" i="20"/>
  <c r="S19" i="20"/>
  <c r="S20" i="20"/>
  <c r="S21" i="20"/>
  <c r="S22" i="20"/>
  <c r="S26" i="20"/>
  <c r="S27" i="20"/>
  <c r="S28" i="20"/>
  <c r="S29" i="20"/>
  <c r="S30" i="20"/>
  <c r="S31" i="20"/>
  <c r="S17" i="20"/>
  <c r="F17" i="20"/>
  <c r="N17" i="20" s="1"/>
  <c r="F18" i="20"/>
  <c r="N18" i="20" s="1"/>
  <c r="F19" i="20"/>
  <c r="N19" i="20" s="1"/>
  <c r="F20" i="20"/>
  <c r="N20" i="20" s="1"/>
  <c r="F22" i="20"/>
  <c r="N22" i="20" s="1"/>
  <c r="F26" i="20"/>
  <c r="N26" i="20" s="1"/>
  <c r="F27" i="20"/>
  <c r="N27" i="20" s="1"/>
  <c r="F28" i="20"/>
  <c r="N28" i="20" s="1"/>
  <c r="F29" i="20"/>
  <c r="N29" i="20" s="1"/>
  <c r="F30" i="20"/>
  <c r="N30" i="20" s="1"/>
  <c r="F31" i="20"/>
  <c r="N31" i="20" s="1"/>
  <c r="K18" i="20"/>
  <c r="K19" i="20"/>
  <c r="K20" i="20"/>
  <c r="K21" i="20"/>
  <c r="K22" i="20"/>
  <c r="K26" i="20"/>
  <c r="K27" i="20"/>
  <c r="K28" i="20"/>
  <c r="K17" i="20"/>
  <c r="I18" i="20"/>
  <c r="I19" i="20"/>
  <c r="I20" i="20"/>
  <c r="I21" i="20"/>
  <c r="I22" i="20"/>
  <c r="I26" i="20"/>
  <c r="I27" i="20"/>
  <c r="I28" i="20"/>
  <c r="I29" i="20"/>
  <c r="I30" i="20"/>
  <c r="I31" i="20"/>
  <c r="I17" i="20"/>
  <c r="E35" i="20"/>
  <c r="M35" i="20" s="1"/>
  <c r="E36" i="20"/>
  <c r="E37" i="20"/>
  <c r="M37" i="20" s="1"/>
  <c r="E38" i="20"/>
  <c r="M38" i="20" s="1"/>
  <c r="E39" i="20"/>
  <c r="M39" i="20" s="1"/>
  <c r="E40" i="20"/>
  <c r="E41" i="20"/>
  <c r="E42" i="20"/>
  <c r="E43" i="20"/>
  <c r="E34" i="20"/>
  <c r="D45" i="20"/>
  <c r="D35" i="20"/>
  <c r="D36" i="20"/>
  <c r="D37" i="20"/>
  <c r="D38" i="20"/>
  <c r="D39" i="20"/>
  <c r="D40" i="20"/>
  <c r="D41" i="20"/>
  <c r="D42" i="20"/>
  <c r="D43" i="20"/>
  <c r="D34" i="20"/>
  <c r="C45" i="20"/>
  <c r="V45" i="20" s="1"/>
  <c r="Z45" i="20" s="1"/>
  <c r="C35" i="20"/>
  <c r="C36" i="20"/>
  <c r="C38" i="20"/>
  <c r="C39" i="20"/>
  <c r="C40" i="20"/>
  <c r="C41" i="20"/>
  <c r="C42" i="20"/>
  <c r="C43" i="20"/>
  <c r="C34" i="20"/>
  <c r="D17" i="20"/>
  <c r="E17" i="20" s="1"/>
  <c r="D18" i="20"/>
  <c r="D19" i="20"/>
  <c r="D20" i="20"/>
  <c r="D21" i="20"/>
  <c r="D22" i="20"/>
  <c r="E22" i="20" s="1"/>
  <c r="D23" i="20"/>
  <c r="E23" i="20" s="1"/>
  <c r="D24" i="20"/>
  <c r="E24" i="20" s="1"/>
  <c r="D25" i="20"/>
  <c r="E25" i="20" s="1"/>
  <c r="D26" i="20"/>
  <c r="D27" i="20"/>
  <c r="D28" i="20"/>
  <c r="D29" i="20"/>
  <c r="D30" i="20"/>
  <c r="E30" i="20" s="1"/>
  <c r="D31" i="20"/>
  <c r="E31" i="20" s="1"/>
  <c r="D32" i="20"/>
  <c r="E32" i="20" s="1"/>
  <c r="S6" i="20"/>
  <c r="S7" i="20"/>
  <c r="S8" i="20"/>
  <c r="S9" i="20"/>
  <c r="S10" i="20"/>
  <c r="S12" i="20"/>
  <c r="S13" i="20"/>
  <c r="S14" i="20"/>
  <c r="S15" i="20"/>
  <c r="S5" i="20"/>
  <c r="I13" i="20"/>
  <c r="I14" i="20"/>
  <c r="I15" i="20"/>
  <c r="I12" i="20"/>
  <c r="I6" i="20"/>
  <c r="I7" i="20"/>
  <c r="I8" i="20"/>
  <c r="I9" i="20"/>
  <c r="I10" i="20"/>
  <c r="I5" i="20"/>
  <c r="D13" i="20"/>
  <c r="E13" i="20" s="1"/>
  <c r="D14" i="20"/>
  <c r="E14" i="20" s="1"/>
  <c r="D15" i="20"/>
  <c r="E15" i="20" s="1"/>
  <c r="D12" i="20"/>
  <c r="E12" i="20" s="1"/>
  <c r="D6" i="20"/>
  <c r="E6" i="20" s="1"/>
  <c r="M6" i="20" s="1"/>
  <c r="D7" i="20"/>
  <c r="E7" i="20" s="1"/>
  <c r="M7" i="20" s="1"/>
  <c r="D8" i="20"/>
  <c r="E8" i="20" s="1"/>
  <c r="M8" i="20" s="1"/>
  <c r="D9" i="20"/>
  <c r="E9" i="20" s="1"/>
  <c r="M9" i="20" s="1"/>
  <c r="D10" i="20"/>
  <c r="E10" i="20" s="1"/>
  <c r="M10" i="20" s="1"/>
  <c r="D5" i="20"/>
  <c r="E5" i="20" s="1"/>
  <c r="M5" i="20" s="1"/>
  <c r="S80" i="20" l="1"/>
  <c r="N80" i="20"/>
  <c r="S79" i="20"/>
  <c r="N79" i="20"/>
  <c r="C85" i="20"/>
  <c r="H85" i="20"/>
  <c r="Q25" i="20"/>
  <c r="W25" i="20" s="1"/>
  <c r="M25" i="20"/>
  <c r="P25" i="20" s="1"/>
  <c r="Q24" i="20"/>
  <c r="W24" i="20" s="1"/>
  <c r="M24" i="20"/>
  <c r="P24" i="20" s="1"/>
  <c r="Q23" i="20"/>
  <c r="W23" i="20" s="1"/>
  <c r="M23" i="20"/>
  <c r="P23" i="20" s="1"/>
  <c r="X23" i="20" s="1"/>
  <c r="Q22" i="20"/>
  <c r="U22" i="20" s="1"/>
  <c r="M22" i="20"/>
  <c r="Q43" i="20"/>
  <c r="W43" i="20" s="1"/>
  <c r="M43" i="20"/>
  <c r="P43" i="20" s="1"/>
  <c r="X43" i="20" s="1"/>
  <c r="Q42" i="20"/>
  <c r="W42" i="20" s="1"/>
  <c r="M42" i="20"/>
  <c r="P42" i="20" s="1"/>
  <c r="X42" i="20" s="1"/>
  <c r="Q34" i="20"/>
  <c r="W34" i="20" s="1"/>
  <c r="M34" i="20"/>
  <c r="P34" i="20" s="1"/>
  <c r="X34" i="20" s="1"/>
  <c r="Q41" i="20"/>
  <c r="W41" i="20" s="1"/>
  <c r="M41" i="20"/>
  <c r="Q40" i="20"/>
  <c r="W40" i="20" s="1"/>
  <c r="M40" i="20"/>
  <c r="P40" i="20" s="1"/>
  <c r="X40" i="20" s="1"/>
  <c r="Q32" i="20"/>
  <c r="W32" i="20" s="1"/>
  <c r="M32" i="20"/>
  <c r="P32" i="20" s="1"/>
  <c r="Q31" i="20"/>
  <c r="W31" i="20" s="1"/>
  <c r="M31" i="20"/>
  <c r="P31" i="20" s="1"/>
  <c r="Q17" i="20"/>
  <c r="W17" i="20" s="1"/>
  <c r="M17" i="20"/>
  <c r="Q30" i="20"/>
  <c r="W30" i="20" s="1"/>
  <c r="M30" i="20"/>
  <c r="P30" i="20" s="1"/>
  <c r="Q36" i="20"/>
  <c r="W36" i="20" s="1"/>
  <c r="M36" i="20"/>
  <c r="P36" i="20" s="1"/>
  <c r="X36" i="20" s="1"/>
  <c r="Q15" i="20"/>
  <c r="W15" i="20" s="1"/>
  <c r="M15" i="20"/>
  <c r="P15" i="20" s="1"/>
  <c r="AG14" i="20"/>
  <c r="M14" i="20"/>
  <c r="P14" i="20" s="1"/>
  <c r="AG13" i="20"/>
  <c r="M13" i="20"/>
  <c r="P13" i="20" s="1"/>
  <c r="AG12" i="20"/>
  <c r="M12" i="20"/>
  <c r="P12" i="20" s="1"/>
  <c r="G71" i="20"/>
  <c r="G73" i="20"/>
  <c r="Z75" i="20"/>
  <c r="G74" i="20"/>
  <c r="G66" i="20"/>
  <c r="Q47" i="20"/>
  <c r="W47" i="20" s="1"/>
  <c r="M47" i="20"/>
  <c r="P47" i="20" s="1"/>
  <c r="Q63" i="20"/>
  <c r="W63" i="20" s="1"/>
  <c r="M63" i="20"/>
  <c r="Q55" i="20"/>
  <c r="W55" i="20" s="1"/>
  <c r="M55" i="20"/>
  <c r="Q74" i="20"/>
  <c r="W74" i="20" s="1"/>
  <c r="M74" i="20"/>
  <c r="M70" i="20"/>
  <c r="Q70" i="20"/>
  <c r="W70" i="20" s="1"/>
  <c r="M62" i="20"/>
  <c r="Q62" i="20"/>
  <c r="W62" i="20" s="1"/>
  <c r="M54" i="20"/>
  <c r="P54" i="20" s="1"/>
  <c r="Q54" i="20"/>
  <c r="W54" i="20" s="1"/>
  <c r="M73" i="20"/>
  <c r="Q73" i="20"/>
  <c r="W73" i="20" s="1"/>
  <c r="M69" i="20"/>
  <c r="Q69" i="20"/>
  <c r="W69" i="20" s="1"/>
  <c r="M61" i="20"/>
  <c r="Q61" i="20"/>
  <c r="W61" i="20" s="1"/>
  <c r="M53" i="20"/>
  <c r="P53" i="20" s="1"/>
  <c r="Q53" i="20"/>
  <c r="W53" i="20" s="1"/>
  <c r="Q71" i="20"/>
  <c r="W71" i="20" s="1"/>
  <c r="M71" i="20"/>
  <c r="Q60" i="20"/>
  <c r="W60" i="20" s="1"/>
  <c r="M60" i="20"/>
  <c r="Q59" i="20"/>
  <c r="W59" i="20" s="1"/>
  <c r="M59" i="20"/>
  <c r="Q66" i="20"/>
  <c r="W66" i="20" s="1"/>
  <c r="M66" i="20"/>
  <c r="Q58" i="20"/>
  <c r="W58" i="20" s="1"/>
  <c r="M58" i="20"/>
  <c r="Q50" i="20"/>
  <c r="W50" i="20" s="1"/>
  <c r="M50" i="20"/>
  <c r="P50" i="20" s="1"/>
  <c r="V50" i="20" s="1"/>
  <c r="Q67" i="20"/>
  <c r="W67" i="20" s="1"/>
  <c r="M67" i="20"/>
  <c r="G62" i="20"/>
  <c r="Q65" i="20"/>
  <c r="W65" i="20" s="1"/>
  <c r="M65" i="20"/>
  <c r="Q57" i="20"/>
  <c r="W57" i="20" s="1"/>
  <c r="M57" i="20"/>
  <c r="Q49" i="20"/>
  <c r="W49" i="20" s="1"/>
  <c r="M49" i="20"/>
  <c r="Q68" i="20"/>
  <c r="W68" i="20" s="1"/>
  <c r="M68" i="20"/>
  <c r="Q52" i="20"/>
  <c r="W52" i="20" s="1"/>
  <c r="M52" i="20"/>
  <c r="Q51" i="20"/>
  <c r="W51" i="20" s="1"/>
  <c r="M51" i="20"/>
  <c r="P51" i="20" s="1"/>
  <c r="V51" i="20" s="1"/>
  <c r="Q64" i="20"/>
  <c r="W64" i="20" s="1"/>
  <c r="M64" i="20"/>
  <c r="Q56" i="20"/>
  <c r="W56" i="20" s="1"/>
  <c r="M56" i="20"/>
  <c r="Q48" i="20"/>
  <c r="W48" i="20" s="1"/>
  <c r="M48" i="20"/>
  <c r="P48" i="20" s="1"/>
  <c r="Z72" i="20"/>
  <c r="C17" i="20"/>
  <c r="H17" i="20"/>
  <c r="R17" i="20" s="1"/>
  <c r="G68" i="20"/>
  <c r="G60" i="20"/>
  <c r="E85" i="20"/>
  <c r="M85" i="20" s="1"/>
  <c r="H83" i="20"/>
  <c r="R83" i="20" s="1"/>
  <c r="Y83" i="20" s="1"/>
  <c r="C83" i="20"/>
  <c r="P83" i="20" s="1"/>
  <c r="H80" i="20"/>
  <c r="H79" i="20"/>
  <c r="H82" i="20"/>
  <c r="R82" i="20" s="1"/>
  <c r="Y82" i="20" s="1"/>
  <c r="H81" i="20"/>
  <c r="G64" i="20"/>
  <c r="G56" i="20"/>
  <c r="H8" i="20"/>
  <c r="H19" i="20"/>
  <c r="R19" i="20" s="1"/>
  <c r="H29" i="20"/>
  <c r="R29" i="20" s="1"/>
  <c r="H7" i="20"/>
  <c r="H18" i="20"/>
  <c r="R18" i="20" s="1"/>
  <c r="H28" i="20"/>
  <c r="R28" i="20" s="1"/>
  <c r="H6" i="20"/>
  <c r="H26" i="20"/>
  <c r="R26" i="20" s="1"/>
  <c r="H27" i="20"/>
  <c r="R27" i="20" s="1"/>
  <c r="H12" i="20"/>
  <c r="J17" i="20"/>
  <c r="H15" i="20"/>
  <c r="J19" i="20"/>
  <c r="J28" i="20"/>
  <c r="H14" i="20"/>
  <c r="J18" i="20"/>
  <c r="J27" i="20"/>
  <c r="H10" i="20"/>
  <c r="H13" i="20"/>
  <c r="H31" i="20"/>
  <c r="R31" i="20" s="1"/>
  <c r="J26" i="20"/>
  <c r="H9" i="20"/>
  <c r="H30" i="20"/>
  <c r="R30" i="20" s="1"/>
  <c r="J22" i="20"/>
  <c r="H22" i="20"/>
  <c r="R22" i="20" s="1"/>
  <c r="H21" i="20"/>
  <c r="R21" i="20" s="1"/>
  <c r="H20" i="20"/>
  <c r="R20" i="20" s="1"/>
  <c r="J20" i="20"/>
  <c r="J21" i="20"/>
  <c r="H5" i="20"/>
  <c r="G59" i="20"/>
  <c r="G67" i="20"/>
  <c r="X45" i="20"/>
  <c r="AB45" i="20" s="1"/>
  <c r="AD45" i="20"/>
  <c r="G58" i="20"/>
  <c r="G57" i="20"/>
  <c r="G65" i="20"/>
  <c r="G55" i="20"/>
  <c r="G63" i="20"/>
  <c r="P80" i="20"/>
  <c r="Q80" i="20"/>
  <c r="W80" i="20" s="1"/>
  <c r="Q79" i="20"/>
  <c r="W79" i="20" s="1"/>
  <c r="P79" i="20"/>
  <c r="P82" i="20"/>
  <c r="Q83" i="20"/>
  <c r="W83" i="20" s="1"/>
  <c r="S82" i="20"/>
  <c r="Q82" i="20"/>
  <c r="W82" i="20" s="1"/>
  <c r="G70" i="20"/>
  <c r="G69" i="20"/>
  <c r="S87" i="20"/>
  <c r="P35" i="20"/>
  <c r="X35" i="20" s="1"/>
  <c r="P86" i="20"/>
  <c r="X86" i="20" s="1"/>
  <c r="Q86" i="20"/>
  <c r="W86" i="20" s="1"/>
  <c r="E87" i="20"/>
  <c r="M87" i="20" s="1"/>
  <c r="AG15" i="20"/>
  <c r="P39" i="20"/>
  <c r="X39" i="20" s="1"/>
  <c r="P38" i="20"/>
  <c r="X38" i="20" s="1"/>
  <c r="P37" i="20"/>
  <c r="X37" i="20" s="1"/>
  <c r="Q39" i="20"/>
  <c r="W39" i="20" s="1"/>
  <c r="Q38" i="20"/>
  <c r="W38" i="20" s="1"/>
  <c r="P41" i="20"/>
  <c r="X41" i="20" s="1"/>
  <c r="Q37" i="20"/>
  <c r="W37" i="20" s="1"/>
  <c r="E29" i="20"/>
  <c r="E21" i="20"/>
  <c r="Q35" i="20"/>
  <c r="W35" i="20" s="1"/>
  <c r="E28" i="20"/>
  <c r="E20" i="20"/>
  <c r="M20" i="20" s="1"/>
  <c r="E27" i="20"/>
  <c r="E19" i="20"/>
  <c r="E26" i="20"/>
  <c r="E18" i="20"/>
  <c r="Q13" i="20"/>
  <c r="W13" i="20" s="1"/>
  <c r="Q8" i="20"/>
  <c r="W8" i="20" s="1"/>
  <c r="P8" i="20"/>
  <c r="Q10" i="20"/>
  <c r="W10" i="20" s="1"/>
  <c r="P10" i="20"/>
  <c r="Q6" i="20"/>
  <c r="W6" i="20" s="1"/>
  <c r="P6" i="20"/>
  <c r="Q9" i="20"/>
  <c r="W9" i="20" s="1"/>
  <c r="P9" i="20"/>
  <c r="Q12" i="20"/>
  <c r="W12" i="20" s="1"/>
  <c r="P7" i="20"/>
  <c r="Q7" i="20"/>
  <c r="W7" i="20" s="1"/>
  <c r="Q5" i="20"/>
  <c r="W5" i="20" s="1"/>
  <c r="P5" i="20"/>
  <c r="Q14" i="20"/>
  <c r="W14" i="20" s="1"/>
  <c r="P71" i="20" l="1"/>
  <c r="P73" i="20"/>
  <c r="V73" i="20" s="1"/>
  <c r="U17" i="20"/>
  <c r="W22" i="20"/>
  <c r="Q26" i="20"/>
  <c r="W26" i="20" s="1"/>
  <c r="M26" i="20"/>
  <c r="Q18" i="20"/>
  <c r="W18" i="20" s="1"/>
  <c r="M18" i="20"/>
  <c r="Q19" i="20"/>
  <c r="W19" i="20" s="1"/>
  <c r="M19" i="20"/>
  <c r="Q27" i="20"/>
  <c r="W27" i="20" s="1"/>
  <c r="M27" i="20"/>
  <c r="Q28" i="20"/>
  <c r="W28" i="20" s="1"/>
  <c r="M28" i="20"/>
  <c r="Q21" i="20"/>
  <c r="W21" i="20" s="1"/>
  <c r="M21" i="20"/>
  <c r="Q29" i="20"/>
  <c r="W29" i="20" s="1"/>
  <c r="M29" i="20"/>
  <c r="P29" i="20" s="1"/>
  <c r="P74" i="20"/>
  <c r="Q20" i="20"/>
  <c r="W20" i="20" s="1"/>
  <c r="P66" i="20"/>
  <c r="V66" i="20" s="1"/>
  <c r="P62" i="20"/>
  <c r="V62" i="20" s="1"/>
  <c r="Z62" i="20" s="1"/>
  <c r="P59" i="20"/>
  <c r="V59" i="20" s="1"/>
  <c r="P67" i="20"/>
  <c r="V67" i="20" s="1"/>
  <c r="P58" i="20"/>
  <c r="V58" i="20" s="1"/>
  <c r="P60" i="20"/>
  <c r="V60" i="20" s="1"/>
  <c r="P22" i="20"/>
  <c r="X22" i="20" s="1"/>
  <c r="T22" i="20"/>
  <c r="Y22" i="20" s="1"/>
  <c r="P17" i="20"/>
  <c r="X17" i="20" s="1"/>
  <c r="T17" i="20"/>
  <c r="Y17" i="20" s="1"/>
  <c r="R79" i="20"/>
  <c r="Y79" i="20" s="1"/>
  <c r="P68" i="20"/>
  <c r="V68" i="20" s="1"/>
  <c r="X68" i="20" s="1"/>
  <c r="P70" i="20"/>
  <c r="V70" i="20" s="1"/>
  <c r="Z70" i="20" s="1"/>
  <c r="R80" i="20"/>
  <c r="Y80" i="20" s="1"/>
  <c r="Q85" i="20"/>
  <c r="W85" i="20" s="1"/>
  <c r="P85" i="20"/>
  <c r="X85" i="20" s="1"/>
  <c r="P65" i="20"/>
  <c r="V65" i="20" s="1"/>
  <c r="Z65" i="20" s="1"/>
  <c r="P57" i="20"/>
  <c r="V57" i="20" s="1"/>
  <c r="P56" i="20"/>
  <c r="V56" i="20" s="1"/>
  <c r="Z56" i="20" s="1"/>
  <c r="P69" i="20"/>
  <c r="V69" i="20" s="1"/>
  <c r="Z69" i="20" s="1"/>
  <c r="V71" i="20"/>
  <c r="Z71" i="20" s="1"/>
  <c r="P64" i="20"/>
  <c r="V64" i="20" s="1"/>
  <c r="Z64" i="20" s="1"/>
  <c r="P61" i="20"/>
  <c r="V53" i="20"/>
  <c r="Z53" i="20" s="1"/>
  <c r="V48" i="20"/>
  <c r="Z48" i="20" s="1"/>
  <c r="P63" i="20"/>
  <c r="V63" i="20" s="1"/>
  <c r="X63" i="20" s="1"/>
  <c r="P52" i="20"/>
  <c r="V52" i="20" s="1"/>
  <c r="P49" i="20"/>
  <c r="V49" i="20" s="1"/>
  <c r="V54" i="20"/>
  <c r="X54" i="20" s="1"/>
  <c r="P55" i="20"/>
  <c r="V55" i="20" s="1"/>
  <c r="X55" i="20" s="1"/>
  <c r="Y31" i="20"/>
  <c r="AE45" i="20"/>
  <c r="AB34" i="20"/>
  <c r="Z50" i="20"/>
  <c r="X50" i="20"/>
  <c r="Z51" i="20"/>
  <c r="X51" i="20"/>
  <c r="V83" i="20"/>
  <c r="Z83" i="20" s="1"/>
  <c r="X83" i="20"/>
  <c r="X79" i="20"/>
  <c r="V82" i="20"/>
  <c r="Z82" i="20" s="1"/>
  <c r="X82" i="20"/>
  <c r="V47" i="20"/>
  <c r="X80" i="20"/>
  <c r="S85" i="20"/>
  <c r="S86" i="20"/>
  <c r="Y29" i="20"/>
  <c r="P87" i="20"/>
  <c r="Q87" i="20"/>
  <c r="W87" i="20" s="1"/>
  <c r="Y30" i="20"/>
  <c r="V23" i="20"/>
  <c r="Z23" i="20" s="1"/>
  <c r="X30" i="20"/>
  <c r="V36" i="20"/>
  <c r="Z36" i="20" s="1"/>
  <c r="V41" i="20"/>
  <c r="Z41" i="20" s="1"/>
  <c r="V35" i="20"/>
  <c r="Z35" i="20" s="1"/>
  <c r="V38" i="20"/>
  <c r="Z38" i="20" s="1"/>
  <c r="V39" i="20"/>
  <c r="Z39" i="20" s="1"/>
  <c r="V24" i="20"/>
  <c r="Z24" i="20" s="1"/>
  <c r="V43" i="20"/>
  <c r="Z43" i="20" s="1"/>
  <c r="V40" i="20"/>
  <c r="Z40" i="20" s="1"/>
  <c r="V25" i="20"/>
  <c r="Z25" i="20" s="1"/>
  <c r="V34" i="20"/>
  <c r="Z34" i="20" s="1"/>
  <c r="X31" i="20"/>
  <c r="V42" i="20"/>
  <c r="Z42" i="20" s="1"/>
  <c r="V37" i="20"/>
  <c r="V30" i="20"/>
  <c r="Z30" i="20" s="1"/>
  <c r="X25" i="20"/>
  <c r="X24" i="20"/>
  <c r="V32" i="20"/>
  <c r="X12" i="20"/>
  <c r="X15" i="20"/>
  <c r="X9" i="20"/>
  <c r="X7" i="20"/>
  <c r="X14" i="20"/>
  <c r="X10" i="20"/>
  <c r="X13" i="20"/>
  <c r="X8" i="20"/>
  <c r="X6" i="20"/>
  <c r="X5" i="20"/>
  <c r="U18" i="20" l="1"/>
  <c r="U26" i="20"/>
  <c r="U21" i="20"/>
  <c r="U19" i="20"/>
  <c r="U28" i="20"/>
  <c r="U27" i="20"/>
  <c r="U20" i="20"/>
  <c r="P27" i="20"/>
  <c r="X27" i="20" s="1"/>
  <c r="T27" i="20"/>
  <c r="Y27" i="20" s="1"/>
  <c r="P18" i="20"/>
  <c r="X18" i="20" s="1"/>
  <c r="T18" i="20"/>
  <c r="Y18" i="20" s="1"/>
  <c r="P19" i="20"/>
  <c r="X19" i="20" s="1"/>
  <c r="T19" i="20"/>
  <c r="Y19" i="20" s="1"/>
  <c r="V79" i="20"/>
  <c r="Z79" i="20" s="1"/>
  <c r="P21" i="20"/>
  <c r="X21" i="20" s="1"/>
  <c r="T21" i="20"/>
  <c r="Y21" i="20" s="1"/>
  <c r="P20" i="20"/>
  <c r="X20" i="20" s="1"/>
  <c r="T20" i="20"/>
  <c r="Y20" i="20" s="1"/>
  <c r="P26" i="20"/>
  <c r="X26" i="20" s="1"/>
  <c r="T26" i="20"/>
  <c r="Y26" i="20" s="1"/>
  <c r="P28" i="20"/>
  <c r="X28" i="20" s="1"/>
  <c r="T28" i="20"/>
  <c r="Y28" i="20" s="1"/>
  <c r="V80" i="20"/>
  <c r="Z80" i="20" s="1"/>
  <c r="Z68" i="20"/>
  <c r="Z54" i="20"/>
  <c r="X53" i="20"/>
  <c r="X65" i="20"/>
  <c r="X71" i="20"/>
  <c r="X48" i="20"/>
  <c r="V61" i="20"/>
  <c r="X61" i="20" s="1"/>
  <c r="Z49" i="20"/>
  <c r="X49" i="20"/>
  <c r="Z52" i="20"/>
  <c r="X52" i="20"/>
  <c r="Z60" i="20"/>
  <c r="X60" i="20"/>
  <c r="X57" i="20"/>
  <c r="Z57" i="20"/>
  <c r="Z73" i="20"/>
  <c r="X73" i="20"/>
  <c r="V74" i="20"/>
  <c r="X74" i="20" s="1"/>
  <c r="X56" i="20"/>
  <c r="X69" i="20"/>
  <c r="X64" i="20"/>
  <c r="Z55" i="20"/>
  <c r="Z63" i="20"/>
  <c r="X70" i="20"/>
  <c r="X62" i="20"/>
  <c r="V22" i="20"/>
  <c r="Z22" i="20" s="1"/>
  <c r="V31" i="20"/>
  <c r="Z31" i="20" s="1"/>
  <c r="V17" i="20"/>
  <c r="Z17" i="20" s="1"/>
  <c r="Z32" i="20"/>
  <c r="X32" i="20"/>
  <c r="AB4" i="20"/>
  <c r="AB12" i="20"/>
  <c r="Z67" i="20"/>
  <c r="X67" i="20"/>
  <c r="Z47" i="20"/>
  <c r="X47" i="20"/>
  <c r="Z59" i="20"/>
  <c r="X59" i="20"/>
  <c r="Z58" i="20"/>
  <c r="X58" i="20"/>
  <c r="Z66" i="20"/>
  <c r="X66" i="20"/>
  <c r="Z37" i="20"/>
  <c r="AD34" i="20"/>
  <c r="X87" i="20"/>
  <c r="AB85" i="20" s="1"/>
  <c r="X29" i="20"/>
  <c r="V29" i="20"/>
  <c r="Z29" i="20" s="1"/>
  <c r="AD47" i="20" l="1"/>
  <c r="V20" i="20"/>
  <c r="Z20" i="20" s="1"/>
  <c r="V19" i="20"/>
  <c r="Z19" i="20" s="1"/>
  <c r="V26" i="20"/>
  <c r="Z26" i="20" s="1"/>
  <c r="V27" i="20"/>
  <c r="Z27" i="20" s="1"/>
  <c r="V18" i="20"/>
  <c r="Z18" i="20" s="1"/>
  <c r="AC17" i="20"/>
  <c r="V21" i="20"/>
  <c r="Z21" i="20" s="1"/>
  <c r="V28" i="20"/>
  <c r="Z28" i="20" s="1"/>
  <c r="Z61" i="20"/>
  <c r="Z74" i="20"/>
  <c r="AB17" i="20"/>
  <c r="AB47" i="20"/>
  <c r="E19" i="19"/>
  <c r="AE34" i="20"/>
  <c r="H19" i="19" s="1"/>
  <c r="AD17" i="20" l="1"/>
  <c r="AE47" i="20"/>
  <c r="H20" i="19" s="1"/>
  <c r="AB3" i="20"/>
  <c r="E18" i="19" l="1"/>
  <c r="AE17" i="20"/>
  <c r="H18" i="19" s="1"/>
  <c r="K4" i="19" l="1"/>
  <c r="D4" i="19" l="1"/>
  <c r="B9" i="23" l="1"/>
  <c r="A43" i="20"/>
  <c r="A42" i="20"/>
  <c r="A41" i="20"/>
  <c r="A40" i="20"/>
  <c r="A39" i="20"/>
  <c r="A38" i="20"/>
  <c r="A37" i="20"/>
  <c r="A36" i="20"/>
  <c r="A35" i="20"/>
  <c r="A34" i="20"/>
  <c r="AN1" i="20"/>
  <c r="K8" i="19"/>
  <c r="H15" i="18"/>
  <c r="B78" i="20" s="1"/>
  <c r="H78" i="20" s="1"/>
  <c r="K6" i="18"/>
  <c r="K5" i="18"/>
  <c r="M6" i="16"/>
  <c r="M5" i="16"/>
  <c r="L86" i="20" l="1"/>
  <c r="R86" i="20" s="1"/>
  <c r="L6" i="20"/>
  <c r="R6" i="20" s="1"/>
  <c r="L15" i="20"/>
  <c r="L5" i="20"/>
  <c r="R5" i="20" s="1"/>
  <c r="L9" i="20"/>
  <c r="R9" i="20" s="1"/>
  <c r="L14" i="20"/>
  <c r="L7" i="20"/>
  <c r="R7" i="20" s="1"/>
  <c r="L10" i="20"/>
  <c r="R10" i="20" s="1"/>
  <c r="L87" i="20"/>
  <c r="R87" i="20" s="1"/>
  <c r="L8" i="20"/>
  <c r="R8" i="20" s="1"/>
  <c r="L13" i="20"/>
  <c r="L12" i="20"/>
  <c r="L85" i="20"/>
  <c r="R85" i="20" s="1"/>
  <c r="C78" i="20"/>
  <c r="F81" i="20"/>
  <c r="F78" i="20"/>
  <c r="N78" i="20" s="1"/>
  <c r="E78" i="20"/>
  <c r="M78" i="20" s="1"/>
  <c r="E81" i="20"/>
  <c r="Y7" i="20" l="1"/>
  <c r="V7" i="20"/>
  <c r="Z7" i="20" s="1"/>
  <c r="Y9" i="20"/>
  <c r="V9" i="20"/>
  <c r="Z9" i="20" s="1"/>
  <c r="Y10" i="20"/>
  <c r="V10" i="20"/>
  <c r="Z10" i="20" s="1"/>
  <c r="R14" i="20"/>
  <c r="AJ14" i="20"/>
  <c r="AK14" i="20" s="1"/>
  <c r="R15" i="20"/>
  <c r="AJ15" i="20"/>
  <c r="AK15" i="20" s="1"/>
  <c r="V85" i="20"/>
  <c r="Y85" i="20"/>
  <c r="AJ12" i="20"/>
  <c r="AK12" i="20" s="1"/>
  <c r="R12" i="20"/>
  <c r="AJ13" i="20"/>
  <c r="AK13" i="20" s="1"/>
  <c r="R13" i="20"/>
  <c r="Y8" i="20"/>
  <c r="V8" i="20"/>
  <c r="Z8" i="20" s="1"/>
  <c r="Y6" i="20"/>
  <c r="V6" i="20"/>
  <c r="Z6" i="20" s="1"/>
  <c r="Y5" i="20"/>
  <c r="V5" i="20"/>
  <c r="Y87" i="20"/>
  <c r="V87" i="20"/>
  <c r="Z87" i="20" s="1"/>
  <c r="Y86" i="20"/>
  <c r="V86" i="20"/>
  <c r="Z86" i="20" s="1"/>
  <c r="Q81" i="20"/>
  <c r="W81" i="20" s="1"/>
  <c r="P81" i="20"/>
  <c r="Q78" i="20"/>
  <c r="W78" i="20" s="1"/>
  <c r="P78" i="20"/>
  <c r="S78" i="20"/>
  <c r="R78" i="20"/>
  <c r="Y78" i="20" s="1"/>
  <c r="S81" i="20"/>
  <c r="R81" i="20"/>
  <c r="Y81" i="20" s="1"/>
  <c r="E20" i="19" l="1"/>
  <c r="E32" i="19"/>
  <c r="Y14" i="20"/>
  <c r="V14" i="20"/>
  <c r="Z14" i="20" s="1"/>
  <c r="Z5" i="20"/>
  <c r="Y13" i="20"/>
  <c r="V13" i="20"/>
  <c r="Z13" i="20" s="1"/>
  <c r="Y12" i="20"/>
  <c r="V12" i="20"/>
  <c r="AC85" i="20"/>
  <c r="Z85" i="20"/>
  <c r="AD85" i="20"/>
  <c r="AC4" i="20"/>
  <c r="Y15" i="20"/>
  <c r="V15" i="20"/>
  <c r="Z15" i="20" s="1"/>
  <c r="V78" i="20"/>
  <c r="X78" i="20"/>
  <c r="AC77" i="20"/>
  <c r="X81" i="20"/>
  <c r="V81" i="20"/>
  <c r="Z81" i="20" s="1"/>
  <c r="AD4" i="20" l="1"/>
  <c r="AE4" i="20" s="1"/>
  <c r="H17" i="19" s="1"/>
  <c r="AC76" i="20"/>
  <c r="AC12" i="20"/>
  <c r="AC3" i="20" s="1"/>
  <c r="Z12" i="20"/>
  <c r="AD12" i="20"/>
  <c r="AE12" i="20" s="1"/>
  <c r="E24" i="19"/>
  <c r="AE85" i="20"/>
  <c r="H24" i="19" s="1"/>
  <c r="Z78" i="20"/>
  <c r="AD77" i="20"/>
  <c r="AB77" i="20"/>
  <c r="E17" i="19" l="1"/>
  <c r="E16" i="19" s="1"/>
  <c r="G17" i="19" s="1"/>
  <c r="AD3" i="20"/>
  <c r="AC89" i="20"/>
  <c r="AB76" i="20"/>
  <c r="AB89" i="20" s="1"/>
  <c r="AE77" i="20"/>
  <c r="H23" i="19" s="1"/>
  <c r="E23" i="19"/>
  <c r="E22" i="19" s="1"/>
  <c r="AD76" i="20"/>
  <c r="G18" i="19" l="1"/>
  <c r="G19" i="19"/>
  <c r="AE3" i="20"/>
  <c r="E8" i="19"/>
  <c r="AE76" i="20"/>
  <c r="G23" i="19"/>
  <c r="AD89" i="20"/>
  <c r="AE89"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<sst xmlns="http://schemas.openxmlformats.org/spreadsheetml/2006/main" count="4588" uniqueCount="1432">
  <si>
    <t>Laipni lūdzam SEG kalkulatorā</t>
  </si>
  <si>
    <t>Lepazīstinām ar SEG emisiju kalkulatoru, kas ir lietotājam draudzīgs rīks, paredzēts, lai novērtētu ikgadējās siltumnīcefekta gāzu (SEG) emisijas maziem un vidējiem uzņēmumiem, kā arī lielām organizācijām. Šis uz Excel balstītais kalkulators vienkāršo emisiju aprēķināšanas procesu 1. un 2. tvēruma emisijām, kas ietver tiešās emisijas attiecīgi no īpašumā esošiem vai kontrolētiem avotiem un netiešas emisijas no iegādātajiem enerģijas avotiem. 
Izmantojot dažādus datu ievades veidus, šis rīks ļauj lietotājiem viegli ievietot savas organizācijas darbības datus un pārvietoties pa Excel failu. Izmantojot šo kalkulatoru, uzņēmumi var gūt vērtīgu ieskatu par savām emisijām un veikt jēgpilnus pasākumus, lai samazinātu savu ietekmi uz vidi.
Šī rīka metodoloģija ir balstīta uz SEG protokolu (GHG Protocol). Emisijas faktori nāk no piecām datubāzēm: AIB, CIBSE, DEFRA, EXIOBASE.
Aprēķins būtu jāuzskata tikai par oglekļa pēdas aplēsi. Tas neatspoguļo ekskluzīvo aprēķina metodiku un tajā nav izsmeļoši ņemti vērā visi apstākļi, kas ietekmē oglekļa pēdas aprēķināšanu.</t>
  </si>
  <si>
    <t>Ja jums ir nepieciešams atbalsts saistībā ar rīku, lūdzu, izmantojiet tālāk norādītās saites:</t>
  </si>
  <si>
    <t xml:space="preserve">ĪSS VIDEO: </t>
  </si>
  <si>
    <t xml:space="preserve">https://www.youtube.com/watch?v=o70i8XQvZW0&amp;feature=youtu.be </t>
  </si>
  <si>
    <t>PAMĀCĪBA:</t>
  </si>
  <si>
    <t>https://www.financelatvia.eu/wp-content/uploads/2024/05/SEG-emisiju-kalkulators-VADLINIJAS_LV.pdf</t>
  </si>
  <si>
    <t>Lietuva</t>
  </si>
  <si>
    <t>Jā</t>
  </si>
  <si>
    <t>01. LAUKSAIMNIECĪBA, MEŽSAIMNIECĪBA UN ZIVSAIMNIECĪBA</t>
  </si>
  <si>
    <t>Latvija</t>
  </si>
  <si>
    <t>Nē</t>
  </si>
  <si>
    <t>02. IEGUVES RŪPNIECĪBA UN KARJERU IZSTRĀDE</t>
  </si>
  <si>
    <t>Igaunija</t>
  </si>
  <si>
    <t>03. APSTRĀDES RŪPNIECĪBA</t>
  </si>
  <si>
    <t>Daļēji</t>
  </si>
  <si>
    <t>04. ELEKTROENERĢIJA, GĀZES APGĀDE, SILTUMAPGĀDE UN GAISA KONDICIONĒŠANA</t>
  </si>
  <si>
    <t>Nav attiecināms</t>
  </si>
  <si>
    <t>PAMATINFORMĀCIJA</t>
  </si>
  <si>
    <t>05. ŪDENS APGĀDE; NOTEKŪDEŅU, ATKRITUMU APSAIMNIEKOŠANA UN SANĀCIJA</t>
  </si>
  <si>
    <t>Pirms datu aizpildīšanas, lūdzu, sāciet šeit un sniedziet pamatinformāciju par uzņēmumu.</t>
  </si>
  <si>
    <t>06. BŪVNIECĪBA</t>
  </si>
  <si>
    <t>07. VAIRUMTIRDZNIECĪBA UN MAZUMTIRDZNIECĪBA</t>
  </si>
  <si>
    <t>Levadiet organizācijas nosaukumu</t>
  </si>
  <si>
    <t>08. TRANSPORTS UN UZGLABĀŠANA</t>
  </si>
  <si>
    <t>09. IZMITINĀŠANA UN ĒDINĀŠANAS PAKALPOJUMI</t>
  </si>
  <si>
    <t>Izvēlieties pārskata gadu:</t>
  </si>
  <si>
    <t>10. INFORMĀCIJAS UN KOMUNIKĀCIJAS PAKALPOJUMI</t>
  </si>
  <si>
    <t>11. FINANŠU UN APDROŠINĀŠANAS DARBĪBAS</t>
  </si>
  <si>
    <t>Atlasiet savu galveno darbības valsti:</t>
  </si>
  <si>
    <t>12. OPERĀCIJAS AR NEKUSTAMO ĪPAŠUMU</t>
  </si>
  <si>
    <t>13. PROFESIONĀLIE, ZINĀTNISKIE UN TEHNISKIE PAKALPOJUMI</t>
  </si>
  <si>
    <t>Izvēlieties savu nozari:</t>
  </si>
  <si>
    <t>14. ADMINISTRATĪVO UN APKALPOJOŠO DIENESTU DARBĪBA</t>
  </si>
  <si>
    <t>15. ALSTS PĀRVALDE UN AIZSARDZĪBA; OBLIGĀTĀ SOCIĀLĀ APDROŠINĀŠANA</t>
  </si>
  <si>
    <t>16. IZGLĪTĪBA</t>
  </si>
  <si>
    <t>Vai jūs aprēķināt 3. tvēruma emisijas?</t>
  </si>
  <si>
    <t>17. VESELĪBA UN SOCIĀLĀ APRŪPE</t>
  </si>
  <si>
    <t>18. MĀKSLA, IZKLAIDE UN ATPŪTA</t>
  </si>
  <si>
    <t xml:space="preserve"> - lūdzu, aizpildiet turpmāk sniegto informāciju tikai tad, ja tiek aprēķinātas 3. tvēruma emisijas - </t>
  </si>
  <si>
    <t>19. CITI PAKALPOJUMI</t>
  </si>
  <si>
    <t>20. MĀJSAIMNIECĪBU KĀ DARBA DEVĒJU DARBĪBA; PAŠPATĒRIŅA PREČU RAŽOŠANA UN PAKALPOJUMU SNIEGŠANA INDIVIDUĀLAJĀS MĀJSAIMNIECĪBĀS</t>
  </si>
  <si>
    <t>Lūdzu, norādiet kopējās emisijas 3. tvēruma emisijas pārskata gadā:</t>
  </si>
  <si>
    <r>
      <t>tCO</t>
    </r>
    <r>
      <rPr>
        <vertAlign val="subscript"/>
        <sz val="11"/>
        <color theme="1"/>
        <rFont val="Calibri"/>
        <family val="2"/>
        <scheme val="minor"/>
      </rPr>
      <t>2</t>
    </r>
    <r>
      <rPr>
        <sz val="11"/>
        <color theme="1"/>
        <rFont val="Calibri"/>
        <family val="2"/>
        <charset val="238"/>
        <scheme val="minor"/>
      </rPr>
      <t>e</t>
    </r>
  </si>
  <si>
    <t>21. ĀRPUSTERITORIĀLO ORGANIZĀCIJU UN INSTITŪCIJU DARBĪBA</t>
  </si>
  <si>
    <t>22. EKSTRATERITORINIŲ ORGANIZACIJŲ IR ĮSTAIGŲ VEIKLA</t>
  </si>
  <si>
    <t>Lūdzu, sniedziet informāciju par iekļautajām kategorijām un aptvertajiem emisiju avotiem</t>
  </si>
  <si>
    <t>Iekļauts aprēķinos?</t>
  </si>
  <si>
    <t>Komentāri?</t>
  </si>
  <si>
    <t xml:space="preserve"> </t>
  </si>
  <si>
    <t>1. kategorija: Iegādātās preces un pakalpojumi</t>
  </si>
  <si>
    <t>2.kategorija: Ražošanas līdzekļi</t>
  </si>
  <si>
    <t>3. kategorija: Ar degvielu un enerģiju saistītas darbības</t>
  </si>
  <si>
    <t>4. kategorija: Transportēšana un izplatīšana augšupejošā vērtības ķēdē</t>
  </si>
  <si>
    <t>5. kategorija: Darbības laikā radušies atkritumi</t>
  </si>
  <si>
    <t>6. kategorija: Komandējumi</t>
  </si>
  <si>
    <t>7. kategorija: Darbinieku pārvietošanās uz darbu</t>
  </si>
  <si>
    <t>8. kategorija: Iepriekšējā posmā nomātie aktīvi</t>
  </si>
  <si>
    <t>9. kategorija: Transportēšana un izplatīšana lejupejošā vērtības ķēdē</t>
  </si>
  <si>
    <t>10. kategorija: Pārdoto produktu apstrāde</t>
  </si>
  <si>
    <t>11. kategorija: Pārdoto produktu izmantošana</t>
  </si>
  <si>
    <t>12. kategorija: Pārdoto produktu apstrāde kalpošanas laika beigās</t>
  </si>
  <si>
    <t>13. kategorija: Pakārtotie nomātie aktīvi</t>
  </si>
  <si>
    <t>14. kategorija: Frančīzes</t>
  </si>
  <si>
    <t>15. kategorija: Investīcijas</t>
  </si>
  <si>
    <t>Vieglais automobilis</t>
  </si>
  <si>
    <t>L</t>
  </si>
  <si>
    <t>EUR</t>
  </si>
  <si>
    <t>kWh</t>
  </si>
  <si>
    <t>Furgons</t>
  </si>
  <si>
    <t>t</t>
  </si>
  <si>
    <t>USD</t>
  </si>
  <si>
    <t>MWh</t>
  </si>
  <si>
    <t>Kravas automašīna</t>
  </si>
  <si>
    <t>Autobuss</t>
  </si>
  <si>
    <t>GWh</t>
  </si>
  <si>
    <t>SEG emisiju kalkulators</t>
  </si>
  <si>
    <t>Izvēlētais gads:</t>
  </si>
  <si>
    <t>Izvēlētā galvenā darbības valsts:</t>
  </si>
  <si>
    <t>1. tvēruma emisijas</t>
  </si>
  <si>
    <t xml:space="preserve">1. tvēruma emisijas ietver tiešas SEG emisijas no īpašumā esošiem un nomātiem objektiem, kas atrodas organizācijas darbības kontrolē (piemēram, birojiem/noliktavām). Tās ir emisijas, kas rodas, sadedzinot transporta degvielu, kurināmo, aukstumaģenta noplūdi un izmantojot atsevišķas rūpnieciskās un aizsarggāzes. </t>
  </si>
  <si>
    <t>STACIONĀRĀS EMISIJAS</t>
  </si>
  <si>
    <t xml:space="preserve">Emisijas, kas rodas, izmantojot kurināmo ēku apkurei vai citiem mērķiem (piemēram, tādās iekārtās kā ģenerators). </t>
  </si>
  <si>
    <r>
      <t xml:space="preserve">Lūdzu, aizpildiet datus par visiem stacionārajos avotos patērētajiem degvielas veidiem izvēlētajā gadā. Lai sāktu aizpildīt datus, lūdzu, atzīmējiet izvēles rūtiņu blakus izvēlētajai degvielai kolonnā "Uzņēmums izmanto".
Lūdzu, ņemiet vērā, ka visprecīzākais emisiju līmenis tiks sasniegts, sniedzot </t>
    </r>
    <r>
      <rPr>
        <sz val="10"/>
        <color rgb="FF0070C0"/>
        <rFont val="Calibri"/>
        <family val="2"/>
        <scheme val="minor"/>
      </rPr>
      <t>reālus patēriņa datus</t>
    </r>
    <r>
      <rPr>
        <sz val="10"/>
        <color theme="1"/>
        <rFont val="Calibri"/>
        <family val="2"/>
        <scheme val="minor"/>
      </rPr>
      <t>, nevis pēc telpu platības.</t>
    </r>
  </si>
  <si>
    <t>&gt;&gt;&gt; 
Lūdzu, aizpildiet kolonnas aplēsēm tikai tad, ja jums nav datu par patēriņu (kreisajā pusē)</t>
  </si>
  <si>
    <t>APLĒSES PĒC TELPU PLATĪBAS</t>
  </si>
  <si>
    <t>KURINĀMAIS</t>
  </si>
  <si>
    <t>UZŅĒMUMS IZMANTO</t>
  </si>
  <si>
    <t>PATĒRIŅŠ</t>
  </si>
  <si>
    <t>VIENĪBA</t>
  </si>
  <si>
    <t>PLATĪBA</t>
  </si>
  <si>
    <t>Dabasgāze*</t>
  </si>
  <si>
    <r>
      <t>m</t>
    </r>
    <r>
      <rPr>
        <i/>
        <vertAlign val="superscript"/>
        <sz val="11"/>
        <color theme="1"/>
        <rFont val="Calibri"/>
        <family val="2"/>
        <charset val="238"/>
        <scheme val="minor"/>
      </rPr>
      <t>2</t>
    </r>
  </si>
  <si>
    <t>Mazuts</t>
  </si>
  <si>
    <t>Dīzeļdegviela**</t>
  </si>
  <si>
    <t>Ogles</t>
  </si>
  <si>
    <t>LPG</t>
  </si>
  <si>
    <t>Propāns</t>
  </si>
  <si>
    <t>Biomasa:</t>
  </si>
  <si>
    <t>Biomasa - malka</t>
  </si>
  <si>
    <t>Lūdzu, ņemiet vērā, ka saskaņā ar SEG protokolu biomasas radītās emisijas ir ārpus 1. tvēruma emisiju inventarizācijas</t>
  </si>
  <si>
    <t>Biomasa - šķelda</t>
  </si>
  <si>
    <t>Biomasa - kokskaidu granulas</t>
  </si>
  <si>
    <t>Biomasa - siens/salmi</t>
  </si>
  <si>
    <r>
      <rPr>
        <b/>
        <i/>
        <sz val="9"/>
        <color theme="4"/>
        <rFont val="Calibri"/>
        <family val="2"/>
        <scheme val="minor"/>
      </rPr>
      <t>*</t>
    </r>
    <r>
      <rPr>
        <i/>
        <sz val="9"/>
        <color theme="2" tint="-0.499984740745262"/>
        <rFont val="Calibri"/>
        <family val="2"/>
        <scheme val="minor"/>
      </rPr>
      <t>lūdzu, iekļaujiet arī dabasgāzi LNG un CNG veidā (ņemot vērā atšķirīgos blīvumus starp LNG, CNG un dabasgāzi gāzveida stāvoklī)</t>
    </r>
  </si>
  <si>
    <r>
      <rPr>
        <b/>
        <i/>
        <sz val="9"/>
        <color theme="4"/>
        <rFont val="Calibri"/>
        <family val="2"/>
        <scheme val="minor"/>
      </rPr>
      <t>**</t>
    </r>
    <r>
      <rPr>
        <i/>
        <sz val="9"/>
        <color theme="2" tint="-0.499984740745262"/>
        <rFont val="Calibri"/>
        <family val="2"/>
        <scheme val="minor"/>
      </rPr>
      <t>lūdzu, iekļaujiet šeit arī līdzīgu degvielu, piemēram, degošo eļļu, slānekļa eļļu, petroleju utt.</t>
    </r>
  </si>
  <si>
    <t>NESTACIONĀRĀS EMISIJAS</t>
  </si>
  <si>
    <t>Emisijas, kas rodas, degvielu sadedzinot jūsu autoparkā (t. i., uzņēmuma automašīnās, piemēram, izpilddirektoram) mehāniskajos transportlīdzekļos. Neaizmirstiet iekļaut sadedzināto degvielu transportlīdzekļos, kas pieder jūsu organizācijai vai ko tā pārvalda (tostarp nomātos transportlīdzekļos). Darbinieku privātās automašīnas nav jāņem vērā.</t>
  </si>
  <si>
    <t>Lūdzu, ievadiet informāciju par uzņēmuma transportlīdzekļiem izvēlētajā gadā. Iekļaujiet visas automašīnas, kas pieder uzņēmumam vai ko tas uzrauga, tostarp nomātos transportlīdzekļus.
Lūdzu, ņemiet vērā, ka visprecīzākais emisiju līmenis tiks sasniegts, sniedzot reālus patēriņa datus, nevis pēc attāluma vai izmaksām.</t>
  </si>
  <si>
    <t>Nodrošiniet tikai vienu – attālumu vai izdevumus – par katru norādīto emisiju avotu:</t>
  </si>
  <si>
    <t>DEGVIELA</t>
  </si>
  <si>
    <t>APLĒSES PĒC ATTĀLUMA</t>
  </si>
  <si>
    <t>APLĒSES PĒC IZMAKSĀM</t>
  </si>
  <si>
    <t>AUTOMAŠĪNAS TIPS</t>
  </si>
  <si>
    <t>NOBRAUKTIE KM</t>
  </si>
  <si>
    <t>IZMAKSAS</t>
  </si>
  <si>
    <t>Dīzeļdegviela</t>
  </si>
  <si>
    <t>km</t>
  </si>
  <si>
    <t>Benzīns</t>
  </si>
  <si>
    <t>LNG</t>
  </si>
  <si>
    <t xml:space="preserve">Nav attiecināms </t>
  </si>
  <si>
    <t>CNG</t>
  </si>
  <si>
    <t>AdBlue</t>
  </si>
  <si>
    <t>kg</t>
  </si>
  <si>
    <t>DIFŪZĀS EMISIJAS</t>
  </si>
  <si>
    <t xml:space="preserve">Difūzās emisijas no saldēšanas un gaisa kondicionēšanas rodas no noplūdēm un lietošanas visā iekārtas ekspluatācijas laikā, un no iekārtas utilizācijas pēc lietderīgās lietošanas laika beigām. </t>
  </si>
  <si>
    <t>Lūdzu, ievadiet noplūžu vai lietošanas apjomu visā iekārtas ekspluatācijas laikā un no utilizācijas iekārtas lietderīgās lietošanas laika beigās. Nav iespējams veikt aplēses.</t>
  </si>
  <si>
    <t>Dla CO2 emisyjnosc 1</t>
  </si>
  <si>
    <t>AUKSTUMAĢENTI</t>
  </si>
  <si>
    <t>NR.</t>
  </si>
  <si>
    <t>NOSAUKUMS</t>
  </si>
  <si>
    <t>DAUDZUMS</t>
  </si>
  <si>
    <t>R421A</t>
  </si>
  <si>
    <t>Propanas</t>
  </si>
  <si>
    <t>CO2</t>
  </si>
  <si>
    <t>*Difūzās emisijas no tiešajiem tehnoloģiskajiem procesiem. Ja piemērojams, lūdzu, norādiet emisiju daudzumu, kas rodas tehnoloģiskajos procesos organizācijā.</t>
  </si>
  <si>
    <t>Emisijas no tiešajiem tehnoloģiskajiem procesiem</t>
  </si>
  <si>
    <t>Lūdzu, atbildiet uz zemāk uzdoto jautājumu, lai pievērstos lauksaimniecības specifiskajām emisijām</t>
  </si>
  <si>
    <t>Vai jūsu uzņēmums darbojas lauksaimniecības nozarē?</t>
  </si>
  <si>
    <t>ZEMĀK SADAĻA TIKAI LAUKSAIMNIECĪBAS UZŅĒMUMIEM ↓↓↓</t>
  </si>
  <si>
    <t>BIOGĒNIE AVOTI</t>
  </si>
  <si>
    <r>
      <t>Šo kategoriju veido 4 apakškategorijas: Zarnu fermentācija, Kūtsmēslu apsaimniekošana, Lauksaimniecības augsnes un augsnes N</t>
    </r>
    <r>
      <rPr>
        <i/>
        <vertAlign val="subscript"/>
        <sz val="10"/>
        <color theme="1"/>
        <rFont val="Calibri"/>
        <family val="2"/>
        <scheme val="minor"/>
      </rPr>
      <t>2</t>
    </r>
    <r>
      <rPr>
        <i/>
        <sz val="10"/>
        <color theme="1"/>
        <rFont val="Calibri"/>
        <family val="2"/>
        <scheme val="minor"/>
      </rPr>
      <t>O emisijas.</t>
    </r>
  </si>
  <si>
    <r>
      <t>Lūdzu, aizpildiet zemāk esošos datus. Attiecībā uz zarnu fermentāciju un kūtsmēslu apsaimniekošanu, lūdzu, norādiet sev piederošo dzīvnieku skaitu. Attiecībā uz augsnes N</t>
    </r>
    <r>
      <rPr>
        <vertAlign val="subscript"/>
        <sz val="10"/>
        <color theme="1"/>
        <rFont val="Calibri"/>
        <family val="2"/>
        <scheme val="minor"/>
      </rPr>
      <t>2</t>
    </r>
    <r>
      <rPr>
        <sz val="10"/>
        <color theme="1"/>
        <rFont val="Calibri"/>
        <family val="2"/>
        <scheme val="minor"/>
      </rPr>
      <t>O emisijām, lūdzu, norādiet pārskata gadā izmantotā mēslojuma daudzumu.</t>
    </r>
  </si>
  <si>
    <t>ZARNU FERMENTĀCIJA, KŪTSMĒSLU APSAIMNIEKOŠANA UN ORGANISKAIS MĒSLOJUMS</t>
  </si>
  <si>
    <t>Lekšējā fermentācija ir process, kurā atgremotājdzīvnieki barības sagremošanas veidā ražo metānu. Kūtsmēslu apsaimniekošana attiecas uz mājlopu ekskrēcijas pārvaldības procesu, jo īpaši, ja tie neatrodas aplokos; tā sedz arī zaudējumus no kūtsmēsliem, ko mājlopi saražo un atstāj tieši ganībās. Šajā kalkulatorā tiek pieņemts, ka atlikusī kūtsmēslu daļa tiek uzglabāta un rada (galvenokārt) metāna emisijas.</t>
  </si>
  <si>
    <t>Dzīvnieku veids</t>
  </si>
  <si>
    <t>Dzīvnieku skaits*</t>
  </si>
  <si>
    <t>Cik % kūtsmēslu nonāk laukā?</t>
  </si>
  <si>
    <t>Piena liellopi</t>
  </si>
  <si>
    <t>Liellopi, kas nav piena lopi</t>
  </si>
  <si>
    <t>Aitas</t>
  </si>
  <si>
    <t>Cūkas</t>
  </si>
  <si>
    <t>Kazas</t>
  </si>
  <si>
    <t>Zirgi</t>
  </si>
  <si>
    <t>Mājputni</t>
  </si>
  <si>
    <t>Truši</t>
  </si>
  <si>
    <r>
      <rPr>
        <b/>
        <i/>
        <sz val="9"/>
        <color theme="4"/>
        <rFont val="Calibri"/>
        <family val="2"/>
        <scheme val="minor"/>
      </rPr>
      <t>*</t>
    </r>
    <r>
      <rPr>
        <i/>
        <sz val="9"/>
        <color theme="2" tint="-0.749992370372631"/>
        <rFont val="Calibri"/>
        <family val="2"/>
        <charset val="238"/>
        <scheme val="minor"/>
      </rPr>
      <t xml:space="preserve">vidējais dzīvnieku skaits pārskata periodā (parasti no 1.janvāra līdz 31.decembrim) </t>
    </r>
  </si>
  <si>
    <t xml:space="preserve">MĒSLOŠANAS LĪDZEKĻU EMISIJAS </t>
  </si>
  <si>
    <r>
      <t>Mākslīgā mēslojuma izmantošana rada SEG emisijas (augsnes N</t>
    </r>
    <r>
      <rPr>
        <i/>
        <vertAlign val="subscript"/>
        <sz val="10"/>
        <color theme="1"/>
        <rFont val="Calibri"/>
        <family val="2"/>
        <scheme val="minor"/>
      </rPr>
      <t>2</t>
    </r>
    <r>
      <rPr>
        <i/>
        <sz val="10"/>
        <color theme="1"/>
        <rFont val="Calibri"/>
        <family val="2"/>
        <scheme val="minor"/>
      </rPr>
      <t>O un CO</t>
    </r>
    <r>
      <rPr>
        <i/>
        <vertAlign val="subscript"/>
        <sz val="10"/>
        <color theme="1"/>
        <rFont val="Calibri"/>
        <family val="2"/>
        <scheme val="minor"/>
      </rPr>
      <t>2</t>
    </r>
    <r>
      <rPr>
        <i/>
        <sz val="10"/>
        <color theme="1"/>
        <rFont val="Calibri"/>
        <family val="2"/>
        <scheme val="minor"/>
      </rPr>
      <t xml:space="preserve"> emisijas). Mākslīgais slāpekļa mēslojums sadalās, lai ražotu slāpekļa oksīdu un oglekļa dioksīdu (urīnvielu). No otras puses, dolomīts un kaļķakmens rada CO</t>
    </r>
    <r>
      <rPr>
        <i/>
        <vertAlign val="subscript"/>
        <sz val="10"/>
        <color theme="1"/>
        <rFont val="Calibri"/>
        <family val="2"/>
        <scheme val="minor"/>
      </rPr>
      <t>2</t>
    </r>
    <r>
      <rPr>
        <i/>
        <sz val="10"/>
        <color theme="1"/>
        <rFont val="Calibri"/>
        <family val="2"/>
        <scheme val="minor"/>
      </rPr>
      <t xml:space="preserve"> emisijas. Slāpekļa mēslošanas līdzekļi nodrošina daudzumu aktīvās vielas izteiksmē, nevis tā kopējo patēriņu. </t>
    </r>
  </si>
  <si>
    <t>Mēslojuma veids</t>
  </si>
  <si>
    <t>Neorganiskie slāpekļa mēslošanas līdzekļi 
(daudzums, ja tiek izmantots slāpeklis) </t>
  </si>
  <si>
    <t>Organiskie slāpekļa mēslošanas līdzekļi 
(izmantotais slāpekļa daudzums) </t>
  </si>
  <si>
    <t>Kaļķakmens </t>
  </si>
  <si>
    <t>Dolomīts </t>
  </si>
  <si>
    <t>Dzīvnieku kūtsmēsli, kas mērķtiecīgi iestrādāti augsnēs* </t>
  </si>
  <si>
    <r>
      <rPr>
        <b/>
        <i/>
        <sz val="9"/>
        <color theme="4"/>
        <rFont val="Calibri"/>
        <family val="2"/>
        <scheme val="minor"/>
      </rPr>
      <t>*</t>
    </r>
    <r>
      <rPr>
        <i/>
        <sz val="9"/>
        <color theme="2" tint="-0.749992370372631"/>
        <rFont val="Calibri"/>
        <family val="2"/>
        <charset val="238"/>
        <scheme val="minor"/>
      </rPr>
      <t xml:space="preserve">kūtsmēsli, kas iepriekš uzglabāti vai iegūti no trešajām personām, kas mērķtiecīgi izlietoti augsnēs </t>
    </r>
  </si>
  <si>
    <t>REFRIGERANTS LIST</t>
  </si>
  <si>
    <t>Litres</t>
  </si>
  <si>
    <r>
      <t>CO</t>
    </r>
    <r>
      <rPr>
        <vertAlign val="subscript"/>
        <sz val="11"/>
        <color theme="9" tint="-0.499984740745262"/>
        <rFont val="Calibri"/>
        <family val="2"/>
        <charset val="238"/>
        <scheme val="minor"/>
      </rPr>
      <t>2</t>
    </r>
  </si>
  <si>
    <t>Tonnes</t>
  </si>
  <si>
    <r>
      <t>CH</t>
    </r>
    <r>
      <rPr>
        <vertAlign val="subscript"/>
        <sz val="11"/>
        <color theme="9" tint="-0.499984740745262"/>
        <rFont val="Calibri"/>
        <family val="2"/>
        <charset val="238"/>
        <scheme val="minor"/>
      </rPr>
      <t>4</t>
    </r>
  </si>
  <si>
    <r>
      <t>N</t>
    </r>
    <r>
      <rPr>
        <vertAlign val="subscript"/>
        <sz val="11"/>
        <color theme="9" tint="-0.499984740745262"/>
        <rFont val="Calibri"/>
        <family val="2"/>
        <charset val="238"/>
        <scheme val="minor"/>
      </rPr>
      <t>2</t>
    </r>
    <r>
      <rPr>
        <sz val="11"/>
        <color theme="9" tint="-0.499984740745262"/>
        <rFont val="Calibri"/>
        <family val="2"/>
        <charset val="238"/>
        <scheme val="minor"/>
      </rPr>
      <t>O</t>
    </r>
  </si>
  <si>
    <t>HFC-23</t>
  </si>
  <si>
    <t>HFC-32</t>
  </si>
  <si>
    <r>
      <t>m</t>
    </r>
    <r>
      <rPr>
        <vertAlign val="superscript"/>
        <sz val="11"/>
        <color theme="1"/>
        <rFont val="Calibri"/>
        <family val="2"/>
        <scheme val="minor"/>
      </rPr>
      <t>3</t>
    </r>
  </si>
  <si>
    <t>HFC-41</t>
  </si>
  <si>
    <t>GJ</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</si>
  <si>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</si>
  <si>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</si>
  <si>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</si>
  <si>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</si>
  <si>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</si>
  <si>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</si>
  <si>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</si>
  <si>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</si>
  <si>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</si>
  <si>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</si>
  <si>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</si>
  <si>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</si>
  <si>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</si>
  <si>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</si>
  <si>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</si>
  <si>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</si>
  <si>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</si>
  <si>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</si>
  <si>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</si>
  <si>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</si>
  <si>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</si>
  <si>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</si>
  <si>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</si>
  <si>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</si>
  <si>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</si>
  <si>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</si>
  <si>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</si>
  <si>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</si>
  <si>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</si>
  <si>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</si>
  <si>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</si>
  <si>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</si>
  <si>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</si>
  <si>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</si>
  <si>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</si>
  <si>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</si>
  <si>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R407A</t>
  </si>
  <si>
    <t>R407B</t>
  </si>
  <si>
    <t>R407C</t>
  </si>
  <si>
    <t>R407D</t>
  </si>
  <si>
    <t>R407E</t>
  </si>
  <si>
    <t>R407F</t>
  </si>
  <si>
    <t>R408A</t>
  </si>
  <si>
    <t>R410A</t>
  </si>
  <si>
    <t>R410B</t>
  </si>
  <si>
    <t>R411A</t>
  </si>
  <si>
    <t>R411B</t>
  </si>
  <si>
    <t>R412A</t>
  </si>
  <si>
    <t>R413A</t>
  </si>
  <si>
    <t>R415A</t>
  </si>
  <si>
    <t>R415B</t>
  </si>
  <si>
    <t>R416A</t>
  </si>
  <si>
    <t>R417A</t>
  </si>
  <si>
    <t>R417B</t>
  </si>
  <si>
    <t>R417C</t>
  </si>
  <si>
    <t>R418A</t>
  </si>
  <si>
    <t>R419A</t>
  </si>
  <si>
    <t>R419B</t>
  </si>
  <si>
    <t>R420A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</si>
  <si>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</si>
  <si>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</si>
  <si>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</si>
  <si>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</si>
  <si>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</si>
  <si>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</si>
  <si>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</si>
  <si>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</si>
  <si>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</si>
  <si>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</si>
  <si>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</si>
  <si>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</si>
  <si>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</si>
  <si>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</si>
  <si>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</si>
  <si>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</si>
  <si>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</si>
  <si>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</si>
  <si>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</si>
  <si>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</si>
  <si>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R440A</t>
  </si>
  <si>
    <t>R442A</t>
  </si>
  <si>
    <t>R444A</t>
  </si>
  <si>
    <t>R445A</t>
  </si>
  <si>
    <t>R500</t>
  </si>
  <si>
    <t>R503</t>
  </si>
  <si>
    <t>R504</t>
  </si>
  <si>
    <t>R507A</t>
  </si>
  <si>
    <t>R508A</t>
  </si>
  <si>
    <t>R508B</t>
  </si>
  <si>
    <t>R509A</t>
  </si>
  <si>
    <t>R511A</t>
  </si>
  <si>
    <t>R512A</t>
  </si>
  <si>
    <t>&lt;Select country&gt;</t>
  </si>
  <si>
    <t>Austria</t>
  </si>
  <si>
    <t>Belgium</t>
  </si>
  <si>
    <t>Bulgaria</t>
  </si>
  <si>
    <t>Croatia</t>
  </si>
  <si>
    <t>Czechia</t>
  </si>
  <si>
    <t>2.  tvēruma emisijas</t>
  </si>
  <si>
    <t>Denmark</t>
  </si>
  <si>
    <t>2.  tvēruma emisijas ietver netiešas enerģijas emisijas, kas saistītas ar elektroenerģijas patēriņu, centralizēto siltumapgādi, tehnisko tvaiku vai centralizēto dzesēšanu, ko iegādājusies organizācija, t.i., attiecībā uz pašu un īrētām iekārtām, kas atrodas organizācijas darbības kontrolē (piemēram, birojos/noliktavās).</t>
  </si>
  <si>
    <t>Finland</t>
  </si>
  <si>
    <t>France</t>
  </si>
  <si>
    <t>Germany</t>
  </si>
  <si>
    <t>ELEKTRĪBA</t>
  </si>
  <si>
    <t>Greece</t>
  </si>
  <si>
    <t>Lūdzu, norādiet visus iepirktās vai ārēji piegādātās elektroenerģijas avotus un šīs enerģijas gada patēriņu attiecīgajā vienībā. Vairumā gadījumu patēriņš ir iepirktās un ražotās enerģijas summa. 
Lūdzu, ņemiet vērā, ka kalkulators aptver tikai Baltijas valstis. Pirmā sleja tiks automātiski aizpildīta kā izvēlētā darbības valsts. Ja jums nav enerģijas iegādes vērtības, lūdzu, norādiet izmaksas.</t>
  </si>
  <si>
    <t>Hungary</t>
  </si>
  <si>
    <t>Ireland</t>
  </si>
  <si>
    <t>Izvēlies valsti:</t>
  </si>
  <si>
    <t>Vienība</t>
  </si>
  <si>
    <t>Italy</t>
  </si>
  <si>
    <t>IEGĀDE</t>
  </si>
  <si>
    <t>Cik daudz elektroenerģijas, kas nav AER*, jūs iegādājāties izvēlētajā gadā?</t>
  </si>
  <si>
    <t>Vai jums ir parakstīts līgums/elektroenerģijas pirkuma līgums (PPA) vai izcelsmes apliecinājumi, ka pats pērkat AER elektroenerģiju?</t>
  </si>
  <si>
    <t>Portugal</t>
  </si>
  <si>
    <t>Cik daudz AER elektroenerģijas jūs iegādājāties izvēlētajā gadā?</t>
  </si>
  <si>
    <t>↓↓↓ Lūdzu, aizpildiet slejas aplēsēm tikai tad, ja jums nav iepriekš minēto datu ↓↓↓</t>
  </si>
  <si>
    <t>Netherlands</t>
  </si>
  <si>
    <t>NOVĒRTĒJUMS: Cik daudz jūs maksājāt par elektroenerģiju, kas nav AER, izvēlētajā gadā?</t>
  </si>
  <si>
    <t>Poland</t>
  </si>
  <si>
    <r>
      <t xml:space="preserve">* </t>
    </r>
    <r>
      <rPr>
        <i/>
        <sz val="10"/>
        <color theme="2" tint="-0.499984740745262"/>
        <rFont val="Calibri"/>
        <family val="2"/>
        <scheme val="minor"/>
      </rPr>
      <t>AER - atjaunojamie enerģijas avoti</t>
    </r>
  </si>
  <si>
    <t>APKURE, DZESĒŠANA UN PROCESA ENERĢIJA (TVAIKS)</t>
  </si>
  <si>
    <t>Dati par ārēji iepirktu vai piegādātu siltuma/dzesēšanas enerģiju, piemēram, centralizētā siltumapgāde un siltumenerģija. Lūdzu ņemiet vērā, ka centralizētā siltumapgāde NAV siltumenerģija, kura iegādāta no vietējās katlumājas, tāpat kā centralizētā dzesēšana NAV atdzesēts ūdens, kas iegādāts no vietējā dzesētāja vai gaisa kondicionēšanas iekārtas (gadījumi, kas sastopami, piemēram, īrētos birojos). Neiekļaujiet enerģiju, ko ražojat un kas nāk no AER. Tas nerada emisijas 2. tvēruma emisijas. 
Lūdzu, ņemiet vērā, ka visprecīzākais emisiju līmenis tiks sasniegts, sniedzot reālus patēriņa datus, nevis pēc platības.</t>
  </si>
  <si>
    <r>
      <t xml:space="preserve">
&gt;&gt;&gt; 
</t>
    </r>
    <r>
      <rPr>
        <b/>
        <i/>
        <sz val="9"/>
        <color rgb="FFC00000"/>
        <rFont val="Calibri"/>
        <family val="2"/>
        <scheme val="minor"/>
      </rPr>
      <t xml:space="preserve">
Lūdzu, aizpildiet slejas aplēsēm tikai tad, ja jums nav datu par patēriņu (kreisajā pusē)</t>
    </r>
  </si>
  <si>
    <t>Kategorija</t>
  </si>
  <si>
    <t>Pielietojams?</t>
  </si>
  <si>
    <t>PATĒRĒŠANA</t>
  </si>
  <si>
    <t>Siltumenerģija</t>
  </si>
  <si>
    <r>
      <t>m</t>
    </r>
    <r>
      <rPr>
        <vertAlign val="superscript"/>
        <sz val="11"/>
        <rFont val="Calibri"/>
        <family val="2"/>
        <scheme val="minor"/>
      </rPr>
      <t>2</t>
    </r>
  </si>
  <si>
    <t>Dzesēšanas enerģija</t>
  </si>
  <si>
    <t>Tvaiks</t>
  </si>
  <si>
    <t>RES</t>
  </si>
  <si>
    <t>NON-RES</t>
  </si>
  <si>
    <t>Heating</t>
  </si>
  <si>
    <t>Cooling</t>
  </si>
  <si>
    <t>Steam</t>
  </si>
  <si>
    <t>Kopsavilkums par</t>
  </si>
  <si>
    <t xml:space="preserve">1. un 2. tvēruma emisijām </t>
  </si>
  <si>
    <t>Kopējās emisijas</t>
  </si>
  <si>
    <t>1. tvēruma emisijas kopā</t>
  </si>
  <si>
    <t>2. tvēruma emisijas kopā</t>
  </si>
  <si>
    <t>3. tvēruma emisijas kopā</t>
  </si>
  <si>
    <r>
      <t>tCO</t>
    </r>
    <r>
      <rPr>
        <vertAlign val="subscript"/>
        <sz val="11"/>
        <color theme="1"/>
        <rFont val="Calibri"/>
        <family val="2"/>
        <charset val="238"/>
        <scheme val="minor"/>
      </rPr>
      <t>2</t>
    </r>
    <r>
      <rPr>
        <sz val="11"/>
        <color theme="1"/>
        <rFont val="Calibri"/>
        <family val="2"/>
        <charset val="238"/>
        <scheme val="minor"/>
      </rPr>
      <t>e/gadā</t>
    </r>
  </si>
  <si>
    <t>Volkswagen Golf</t>
  </si>
  <si>
    <t>tree</t>
  </si>
  <si>
    <t>Kopā Jūsu emisijas 1. un 2. tvēruma emisijas ir salīdzināmas ar:</t>
  </si>
  <si>
    <t>gCO2e/km</t>
  </si>
  <si>
    <t>6-7kgCO2/year</t>
  </si>
  <si>
    <t>kokiem, kas nepieciešami, lai absorbētu radītās emisijas 1 gada laikā</t>
  </si>
  <si>
    <t>nobrauktiem km 
(lietojot benzīnu)</t>
  </si>
  <si>
    <t>braucieniem apkārt zemeslodei</t>
  </si>
  <si>
    <t>kms driven (petrol)</t>
  </si>
  <si>
    <t>1. tvēruma emisijas (tiešās emisijas)</t>
  </si>
  <si>
    <r>
      <t>tCO</t>
    </r>
    <r>
      <rPr>
        <b/>
        <vertAlign val="subscript"/>
        <sz val="10"/>
        <color theme="1"/>
        <rFont val="Calibri"/>
        <family val="2"/>
        <scheme val="minor"/>
      </rPr>
      <t>2</t>
    </r>
    <r>
      <rPr>
        <b/>
        <sz val="10"/>
        <color theme="1"/>
        <rFont val="Calibri"/>
        <family val="2"/>
        <scheme val="minor"/>
      </rPr>
      <t>e/gadā</t>
    </r>
  </si>
  <si>
    <t>%</t>
  </si>
  <si>
    <t>% FAKTISKAJIEM</t>
  </si>
  <si>
    <t>Stacionārās emisijas</t>
  </si>
  <si>
    <r>
      <t>tCO</t>
    </r>
    <r>
      <rPr>
        <vertAlign val="subscript"/>
        <sz val="10"/>
        <color theme="1"/>
        <rFont val="Calibri"/>
        <family val="2"/>
        <scheme val="minor"/>
      </rPr>
      <t>2</t>
    </r>
    <r>
      <rPr>
        <sz val="10"/>
        <color theme="1"/>
        <rFont val="Calibri"/>
        <family val="2"/>
        <scheme val="minor"/>
      </rPr>
      <t>e/gadā</t>
    </r>
  </si>
  <si>
    <t>DATU ANALĪZE</t>
  </si>
  <si>
    <t>Nestacionārās emisijas</t>
  </si>
  <si>
    <t>Difūzās emisijas</t>
  </si>
  <si>
    <t>Kopējā % daļa no FAKTISKAJIEM datiem:</t>
  </si>
  <si>
    <t>Biogēnās emisijas</t>
  </si>
  <si>
    <r>
      <t>tCO</t>
    </r>
    <r>
      <rPr>
        <i/>
        <vertAlign val="subscript"/>
        <sz val="10"/>
        <color theme="2" tint="-0.499984740745262"/>
        <rFont val="Calibri"/>
        <family val="2"/>
        <scheme val="minor"/>
      </rPr>
      <t>2</t>
    </r>
    <r>
      <rPr>
        <i/>
        <sz val="10"/>
        <color theme="2" tint="-0.499984740745262"/>
        <rFont val="Calibri"/>
        <family val="2"/>
        <scheme val="minor"/>
      </rPr>
      <t>e/gadā</t>
    </r>
  </si>
  <si>
    <t>Kopējā % daļa no APLĒSTAJIEM datiem:</t>
  </si>
  <si>
    <t>2. tvēruma emisijas (netiešās emisijas)</t>
  </si>
  <si>
    <t>Elektrība</t>
  </si>
  <si>
    <t>Apkures/dzesēšanas enerģija</t>
  </si>
  <si>
    <t>Pieejami AER sertifikāti/PPA?</t>
  </si>
  <si>
    <t>3. tvēruma emisijas (netiešās emisijas)</t>
  </si>
  <si>
    <t>3. tvēruma emisijas</t>
  </si>
  <si>
    <t>Uzņēmuma tieši sniegtie dati</t>
  </si>
  <si>
    <t>Aptvertās kategorijas</t>
  </si>
  <si>
    <t>Emisijas, kas nav iekļautas 1., 2.  tvēruma emisijās:</t>
  </si>
  <si>
    <r>
      <rPr>
        <b/>
        <sz val="11"/>
        <color rgb="FF808080"/>
        <rFont val="Calibri"/>
        <family val="2"/>
        <charset val="238"/>
        <scheme val="minor"/>
      </rPr>
      <t>Emisijas no biomasas (tikai CO</t>
    </r>
    <r>
      <rPr>
        <b/>
        <vertAlign val="subscript"/>
        <sz val="11"/>
        <color rgb="FF808080"/>
        <rFont val="Calibri"/>
        <family val="2"/>
        <charset val="238"/>
        <scheme val="minor"/>
      </rPr>
      <t>2</t>
    </r>
    <r>
      <rPr>
        <b/>
        <sz val="11"/>
        <color rgb="FF808080"/>
        <rFont val="Calibri"/>
        <family val="2"/>
        <charset val="238"/>
        <scheme val="minor"/>
      </rPr>
      <t>)</t>
    </r>
  </si>
  <si>
    <r>
      <t>tCO</t>
    </r>
    <r>
      <rPr>
        <b/>
        <vertAlign val="subscript"/>
        <sz val="11"/>
        <color theme="0" tint="-0.499984740745262"/>
        <rFont val="Calibri"/>
        <family val="2"/>
        <scheme val="minor"/>
      </rPr>
      <t>2</t>
    </r>
    <r>
      <rPr>
        <b/>
        <sz val="11"/>
        <color theme="0" tint="-0.499984740745262"/>
        <rFont val="Calibri"/>
        <family val="2"/>
        <scheme val="minor"/>
      </rPr>
      <t>/gadā</t>
    </r>
  </si>
  <si>
    <r>
      <t>CO</t>
    </r>
    <r>
      <rPr>
        <i/>
        <vertAlign val="subscript"/>
        <sz val="9"/>
        <color theme="2" tint="-0.499984740745262"/>
        <rFont val="Calibri"/>
        <family val="2"/>
        <scheme val="minor"/>
      </rPr>
      <t>2</t>
    </r>
    <r>
      <rPr>
        <i/>
        <sz val="9"/>
        <color theme="2" tint="-0.499984740745262"/>
        <rFont val="Calibri"/>
        <family val="2"/>
        <scheme val="minor"/>
      </rPr>
      <t xml:space="preserve"> emisijas no biomasas sadedzināšanas ir ārpus tvēruma emisijam (1 un 2), CH</t>
    </r>
    <r>
      <rPr>
        <i/>
        <vertAlign val="subscript"/>
        <sz val="9"/>
        <color theme="2" tint="-0.499984740745262"/>
        <rFont val="Calibri"/>
        <family val="2"/>
        <scheme val="minor"/>
      </rPr>
      <t>4</t>
    </r>
    <r>
      <rPr>
        <i/>
        <sz val="9"/>
        <color theme="2" tint="-0.499984740745262"/>
        <rFont val="Calibri"/>
        <family val="2"/>
        <scheme val="minor"/>
      </rPr>
      <t xml:space="preserve"> un N</t>
    </r>
    <r>
      <rPr>
        <i/>
        <vertAlign val="subscript"/>
        <sz val="9"/>
        <color theme="2" tint="-0.499984740745262"/>
        <rFont val="Calibri"/>
        <family val="2"/>
        <scheme val="minor"/>
      </rPr>
      <t>2</t>
    </r>
    <r>
      <rPr>
        <i/>
        <sz val="9"/>
        <color theme="2" tint="-0.499984740745262"/>
        <rFont val="Calibri"/>
        <family val="2"/>
        <scheme val="minor"/>
      </rPr>
      <t>O ir iekļautas 1. tvēruma emisijās (stacionāra sadedzināšana).</t>
    </r>
  </si>
  <si>
    <t>1. un 2. tvēruma emisijas daļa [%]</t>
  </si>
  <si>
    <r>
      <t>1. tvēruma SEG emisiju sadalījums [tCO</t>
    </r>
    <r>
      <rPr>
        <b/>
        <vertAlign val="subscript"/>
        <sz val="10"/>
        <color theme="4"/>
        <rFont val="Calibri"/>
        <family val="2"/>
        <scheme val="minor"/>
      </rPr>
      <t>2</t>
    </r>
    <r>
      <rPr>
        <b/>
        <sz val="10"/>
        <color theme="4"/>
        <rFont val="Calibri"/>
        <family val="2"/>
        <scheme val="minor"/>
      </rPr>
      <t>e]</t>
    </r>
  </si>
  <si>
    <r>
      <t>2. tvēruma SEG emisiju sadalījums [tCO</t>
    </r>
    <r>
      <rPr>
        <b/>
        <vertAlign val="subscript"/>
        <sz val="10"/>
        <color theme="4"/>
        <rFont val="Calibri"/>
        <family val="2"/>
        <scheme val="minor"/>
      </rPr>
      <t>2</t>
    </r>
    <r>
      <rPr>
        <b/>
        <sz val="10"/>
        <color theme="4"/>
        <rFont val="Calibri"/>
        <family val="2"/>
        <scheme val="minor"/>
      </rPr>
      <t>e]</t>
    </r>
  </si>
  <si>
    <r>
      <t>1, 2 un 3 tvēruma SEG emisiju sadalījums [tCO</t>
    </r>
    <r>
      <rPr>
        <b/>
        <vertAlign val="subscript"/>
        <sz val="11"/>
        <color theme="4"/>
        <rFont val="Calibri"/>
        <family val="2"/>
        <scheme val="minor"/>
      </rPr>
      <t>2</t>
    </r>
    <r>
      <rPr>
        <b/>
        <sz val="11"/>
        <color theme="4"/>
        <rFont val="Calibri"/>
        <family val="2"/>
        <scheme val="minor"/>
      </rPr>
      <t>e]</t>
    </r>
  </si>
  <si>
    <t>2. tvēruma emisijas</t>
  </si>
  <si>
    <t>CALCULATIONS</t>
  </si>
  <si>
    <t>VALUE &amp; UNITS</t>
  </si>
  <si>
    <t>Energy benchmark
(kWh / mkw)</t>
  </si>
  <si>
    <t>EMISSIONS FACTOR</t>
  </si>
  <si>
    <t>CALCULATED EMISSIONS</t>
  </si>
  <si>
    <t>END RESULTS</t>
  </si>
  <si>
    <t>Year</t>
  </si>
  <si>
    <t>Category</t>
  </si>
  <si>
    <t>Applicable?</t>
  </si>
  <si>
    <t>Value A</t>
  </si>
  <si>
    <t>Unit A</t>
  </si>
  <si>
    <t>Connection A</t>
  </si>
  <si>
    <t>Connection B</t>
  </si>
  <si>
    <t>Connection C</t>
  </si>
  <si>
    <t>Value B</t>
  </si>
  <si>
    <t>Unit B</t>
  </si>
  <si>
    <t>Value C</t>
  </si>
  <si>
    <t>Unit C</t>
  </si>
  <si>
    <t>Emissions factor A</t>
  </si>
  <si>
    <t>Emissions factor B</t>
  </si>
  <si>
    <t>Emissions factor C</t>
  </si>
  <si>
    <t>EMISSIONS A</t>
  </si>
  <si>
    <t>Unit</t>
  </si>
  <si>
    <t>EMISSIONS B</t>
  </si>
  <si>
    <t>EMISSIONS C</t>
  </si>
  <si>
    <t>EMISSIONS TOTAL</t>
  </si>
  <si>
    <t>UNIT</t>
  </si>
  <si>
    <t>Actual</t>
  </si>
  <si>
    <t>Estimated</t>
  </si>
  <si>
    <t>Actual %</t>
  </si>
  <si>
    <t>Total</t>
  </si>
  <si>
    <t>% actual</t>
  </si>
  <si>
    <t>Scope 1</t>
  </si>
  <si>
    <t>Total Scope 1:</t>
  </si>
  <si>
    <t>STATIONARY EMISSIONS</t>
  </si>
  <si>
    <t>STATIONARY EMISSIONS:</t>
  </si>
  <si>
    <t>Natural gas</t>
  </si>
  <si>
    <t>Burning oil</t>
  </si>
  <si>
    <t>Diesel</t>
  </si>
  <si>
    <t>Coal</t>
  </si>
  <si>
    <t>Biomass CO2 - outside of scopes</t>
  </si>
  <si>
    <t>Propane</t>
  </si>
  <si>
    <t>Factor for actual</t>
  </si>
  <si>
    <t>Factor for estimated</t>
  </si>
  <si>
    <t>Consumption actual</t>
  </si>
  <si>
    <t>Consumption estimated</t>
  </si>
  <si>
    <t>Emissions</t>
  </si>
  <si>
    <t>BIOMASS</t>
  </si>
  <si>
    <t>BIOMASS:</t>
  </si>
  <si>
    <t>Biomass - wood logs</t>
  </si>
  <si>
    <t>Biomass - wood chips</t>
  </si>
  <si>
    <t>Biomass - wood pellets</t>
  </si>
  <si>
    <t>Biomass - grass/straw</t>
  </si>
  <si>
    <t>NON-STATIONARY EMISSIONS</t>
  </si>
  <si>
    <t>Petrol</t>
  </si>
  <si>
    <t>FUGITIVE EMISSIONS</t>
  </si>
  <si>
    <t>FUGITIVE EMISSIONS:</t>
  </si>
  <si>
    <t>OTHER PROCESS-RELATED EMISSIONS</t>
  </si>
  <si>
    <t>OTHER PROCESS-RELATED EMISSIONS:</t>
  </si>
  <si>
    <t>Emissions from direct processes</t>
  </si>
  <si>
    <t>tCO2e</t>
  </si>
  <si>
    <t>AGRICULTURE</t>
  </si>
  <si>
    <t>% of manure going to field    &gt;&gt;&gt;</t>
  </si>
  <si>
    <t>corrected number of animals</t>
  </si>
  <si>
    <t>EF Dairy Cattle</t>
  </si>
  <si>
    <t>pcs.</t>
  </si>
  <si>
    <t>EF Non-dairy cattle</t>
  </si>
  <si>
    <t>EF Sheep</t>
  </si>
  <si>
    <t>EF Swine</t>
  </si>
  <si>
    <t>EF Goats</t>
  </si>
  <si>
    <t>EF Horses</t>
  </si>
  <si>
    <t>EF Poultry</t>
  </si>
  <si>
    <t>EF Rabbit</t>
  </si>
  <si>
    <t>MM Dairy Cattle</t>
  </si>
  <si>
    <t>MM Non-dairy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</si>
  <si>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</si>
  <si>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</si>
  <si>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</si>
  <si>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</si>
  <si>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</si>
  <si>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</si>
  <si>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</si>
  <si>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</si>
  <si>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</si>
  <si>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</si>
  <si>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</si>
  <si>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</si>
  <si>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</si>
  <si>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</si>
  <si>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Inorganic Nitrogen fertilizers</t>
  </si>
  <si>
    <t>Organic Nitrogen fertilizers</t>
  </si>
  <si>
    <t>Limestone</t>
  </si>
  <si>
    <t>Dolomite</t>
  </si>
  <si>
    <t xml:space="preserve"> Animal manure applied to soils</t>
  </si>
  <si>
    <t>Scope 2</t>
  </si>
  <si>
    <t>Total Scope 2:</t>
  </si>
  <si>
    <t>ELECTRICITY</t>
  </si>
  <si>
    <t>ELECTRICITY:</t>
  </si>
  <si>
    <t>TOTAL PURCHASE</t>
  </si>
  <si>
    <t>RES PURCHASE</t>
  </si>
  <si>
    <t>HEATING, COOLING, STEAM</t>
  </si>
  <si>
    <t>HEATING, COOLING, STEAM:</t>
  </si>
  <si>
    <t>District Heating</t>
  </si>
  <si>
    <t>District Cooling</t>
  </si>
  <si>
    <t>GRAND TOTAL:</t>
  </si>
  <si>
    <t>Emission category</t>
  </si>
  <si>
    <t>Latvian for VLOOKUP</t>
  </si>
  <si>
    <t>Lithuanian for VLOOKUP</t>
  </si>
  <si>
    <t>Estonian for VLOOKUP</t>
  </si>
  <si>
    <t>CO2e</t>
  </si>
  <si>
    <t xml:space="preserve">CH4 </t>
  </si>
  <si>
    <t>N2O</t>
  </si>
  <si>
    <t>Base unit</t>
  </si>
  <si>
    <t>Emission unit</t>
  </si>
  <si>
    <t>Source 2022</t>
  </si>
  <si>
    <t>Agricultural soils</t>
  </si>
  <si>
    <t xml:space="preserve"> Animal manure applied to soils Igaunija</t>
  </si>
  <si>
    <t xml:space="preserve"> Animal manure applied to soils Estija</t>
  </si>
  <si>
    <t xml:space="preserve"> Animal manure applied to soils Eesti</t>
  </si>
  <si>
    <t>UN National Inventories, LINK: https://unfccc.int/ghg-inventories-annex-i-parties/2024 (access: 31/01/2025)</t>
  </si>
  <si>
    <t xml:space="preserve"> Animal manure applied to soils Latvija</t>
  </si>
  <si>
    <t xml:space="preserve"> Animal manure applied to soils Läti</t>
  </si>
  <si>
    <t xml:space="preserve"> Animal manure applied to soils Lietuva</t>
  </si>
  <si>
    <t xml:space="preserve"> Animal manure applied to soils Leedu</t>
  </si>
  <si>
    <t>AS Dairy Cattle Igaunija</t>
  </si>
  <si>
    <t>AS Dairy Cattle Estija</t>
  </si>
  <si>
    <t>AS Dairy Cattle Eesti</t>
  </si>
  <si>
    <t>per head</t>
  </si>
  <si>
    <t>AS Dairy Cattle Latvija</t>
  </si>
  <si>
    <t>AS Dairy Cattle Läti</t>
  </si>
  <si>
    <t>AS Dairy Cattle Lietuva</t>
  </si>
  <si>
    <t>AS Dairy Cattle Leedu</t>
  </si>
  <si>
    <t>AS Goats Igaunija</t>
  </si>
  <si>
    <t>AS Goats Estija</t>
  </si>
  <si>
    <t>AS Goats Eesti</t>
  </si>
  <si>
    <t>AS Goats Latvija</t>
  </si>
  <si>
    <t>AS Goats Läti</t>
  </si>
  <si>
    <t>AS Goats Lietuva</t>
  </si>
  <si>
    <t>AS Goats Leedu</t>
  </si>
  <si>
    <t>AS Horses Igaunija</t>
  </si>
  <si>
    <t>AS Horses Estija</t>
  </si>
  <si>
    <t>AS Horses Eesti</t>
  </si>
  <si>
    <t>AS Horses Latvija</t>
  </si>
  <si>
    <t>AS Horses Läti</t>
  </si>
  <si>
    <t>AS Horses Lietuva</t>
  </si>
  <si>
    <t>AS Horses Leedu</t>
  </si>
  <si>
    <t>AS Non-diary cattle Igaunija</t>
  </si>
  <si>
    <t>AS Non-diary cattle Estija</t>
  </si>
  <si>
    <t>AS Non-diary cattle Eesti</t>
  </si>
  <si>
    <t>AS Non-diary cattle Latvija</t>
  </si>
  <si>
    <t>AS Non-diary cattle Läti</t>
  </si>
  <si>
    <t>AS Non-diary cattle Lietuva</t>
  </si>
  <si>
    <t>AS Non-diary cattle Leedu</t>
  </si>
  <si>
    <t>AS Poultry Igaunija</t>
  </si>
  <si>
    <t>AS Poultry Estija</t>
  </si>
  <si>
    <t>AS Poultry Eesti</t>
  </si>
  <si>
    <t>AS Poultry Latvija</t>
  </si>
  <si>
    <t>AS Poultry Läti</t>
  </si>
  <si>
    <t>AS Poultry Lietuva</t>
  </si>
  <si>
    <t>AS Poultry Leedu</t>
  </si>
  <si>
    <t>AS Rabbit Igaunija</t>
  </si>
  <si>
    <t>AS Rabbit Estija</t>
  </si>
  <si>
    <t>AS Rabbit Eesti</t>
  </si>
  <si>
    <t>AS Rabbit Latvija</t>
  </si>
  <si>
    <t>AS Rabbit Läti</t>
  </si>
  <si>
    <t>AS Rabbit Lietuva</t>
  </si>
  <si>
    <t>AS Rabbit Leedu</t>
  </si>
  <si>
    <t>AS Sheep Igaunija</t>
  </si>
  <si>
    <t>AS Sheep Estija</t>
  </si>
  <si>
    <t>AS Sheep Eesti</t>
  </si>
  <si>
    <t>AS Sheep Latvija</t>
  </si>
  <si>
    <t>AS Sheep Läti</t>
  </si>
  <si>
    <t>AS Sheep Lietuva</t>
  </si>
  <si>
    <t>AS Sheep Leedu</t>
  </si>
  <si>
    <t>AS Swine Igaunija</t>
  </si>
  <si>
    <t>AS Swine Estija</t>
  </si>
  <si>
    <t>AS Swine Eesti</t>
  </si>
  <si>
    <t>AS Swine Latvija</t>
  </si>
  <si>
    <t>AS Swine Läti</t>
  </si>
  <si>
    <t>AS Swine Lietuva</t>
  </si>
  <si>
    <t>AS Swine Leedu</t>
  </si>
  <si>
    <t>Dolomite Igaunija</t>
  </si>
  <si>
    <t>Dolomite Estija</t>
  </si>
  <si>
    <t>Dolomite Eesti</t>
  </si>
  <si>
    <t>Dolomite Latvija</t>
  </si>
  <si>
    <t>Dolomite Läti</t>
  </si>
  <si>
    <t>Dolomite Lietuva</t>
  </si>
  <si>
    <t>Dolomite Leedu</t>
  </si>
  <si>
    <t>Inorganic Nitrogen fertilizers Igaunija</t>
  </si>
  <si>
    <t>Inorganic Nitrogen fertilizers Estija</t>
  </si>
  <si>
    <t>Inorganic Nitrogen fertilizers Eesti</t>
  </si>
  <si>
    <t>Inorganic Nitrogen fertilizers Latvija</t>
  </si>
  <si>
    <t>Inorganic Nitrogen fertilizers Läti</t>
  </si>
  <si>
    <t>Inorganic Nitrogen fertilizers Lietuva</t>
  </si>
  <si>
    <t>Inorganic Nitrogen fertilizers Leedu</t>
  </si>
  <si>
    <t>Limestone Igaunija</t>
  </si>
  <si>
    <t>Limestone Estija</t>
  </si>
  <si>
    <t>Limestone Eesti</t>
  </si>
  <si>
    <t>Limestone Latvija</t>
  </si>
  <si>
    <t>Limestone Läti</t>
  </si>
  <si>
    <t>Limestone Lietuva</t>
  </si>
  <si>
    <t>Limestone Leedu</t>
  </si>
  <si>
    <t>Organic Nitrogen fertilizers Igaunija</t>
  </si>
  <si>
    <t>Organic Nitrogen fertilizers Estija</t>
  </si>
  <si>
    <t>Organic Nitrogen fertilizers Eesti</t>
  </si>
  <si>
    <t>Organic Nitrogen fertilizers Latvija</t>
  </si>
  <si>
    <t>Organic Nitrogen fertilizers Läti</t>
  </si>
  <si>
    <t>Organic Nitrogen fertilizers Lietuva</t>
  </si>
  <si>
    <t>Organic Nitrogen fertilizers Leedu</t>
  </si>
  <si>
    <t>Bioenergy</t>
  </si>
  <si>
    <t>Biomass - grass/straw kWh</t>
  </si>
  <si>
    <t>DEFRA 2024 - v.1. - full set</t>
  </si>
  <si>
    <t>Biomass - grass/straw MWh</t>
  </si>
  <si>
    <t>Biomass - grass/straw T</t>
  </si>
  <si>
    <t>Biomass - grass/straw Tonnes</t>
  </si>
  <si>
    <t>Biomass - wood chips kWh</t>
  </si>
  <si>
    <t>Biomass - wood chips MWh</t>
  </si>
  <si>
    <t>Biomass - wood chips T</t>
  </si>
  <si>
    <t>Biomass - wood chips Tonnes</t>
  </si>
  <si>
    <t>Biomass - wood logs kWh</t>
  </si>
  <si>
    <t>Biomass - wood logs MWh</t>
  </si>
  <si>
    <t>Biomass - wood logs T</t>
  </si>
  <si>
    <t>Biomass - wood logs Tonnes</t>
  </si>
  <si>
    <t>Biomass - wood pellets kWh</t>
  </si>
  <si>
    <t>Biomass - wood pellets MWh</t>
  </si>
  <si>
    <t>Biomass - wood pellets T</t>
  </si>
  <si>
    <t>Biomass - wood pellets Tonnes</t>
  </si>
  <si>
    <t>Delivery vehicles</t>
  </si>
  <si>
    <t>Kravas automašīna - Diesel</t>
  </si>
  <si>
    <t>Truck - Diesel</t>
  </si>
  <si>
    <t>Furgons - CNG</t>
  </si>
  <si>
    <t>VAN - CNG</t>
  </si>
  <si>
    <t>Furgons - Diesel</t>
  </si>
  <si>
    <t>VAN - Diesel</t>
  </si>
  <si>
    <t>Furgons - LPG</t>
  </si>
  <si>
    <t>VAN - LPG</t>
  </si>
  <si>
    <t>Furgons - Petrol</t>
  </si>
  <si>
    <t>VAN - Petrol</t>
  </si>
  <si>
    <t>Furgons - Unknown</t>
  </si>
  <si>
    <t>VAN - Unknown</t>
  </si>
  <si>
    <t>Igaunija GJ 2020 District Cooling</t>
  </si>
  <si>
    <t>Estija GJ 2020 District Cooling</t>
  </si>
  <si>
    <t>Eesti GJ 2020 District Cooling</t>
  </si>
  <si>
    <t>LINK: https://kasvuhoonegaasid.ee/#/emission-factors/inventory-emission-factors/i_heat_EF, (access: 31/01/2025)</t>
  </si>
  <si>
    <t>Igaunija GJ 2021 District Cooling</t>
  </si>
  <si>
    <t>Estija GJ 2021 District Cooling</t>
  </si>
  <si>
    <t>Eesti GJ 2021 District Cooling</t>
  </si>
  <si>
    <t>Igaunija GJ 2022 District Cooling</t>
  </si>
  <si>
    <t>Estija GJ 2022 District Cooling</t>
  </si>
  <si>
    <t>Eesti GJ 2022 District Cooling</t>
  </si>
  <si>
    <t>Igaunija GJ 2023 District Cooling</t>
  </si>
  <si>
    <t>Estija GJ 2023 District Cooling</t>
  </si>
  <si>
    <t>Eesti GJ 2023 District Cooling</t>
  </si>
  <si>
    <t>Igaunija GJ 2024 District Cooling</t>
  </si>
  <si>
    <t>Estija GJ 2024 District Cooling</t>
  </si>
  <si>
    <t>Eesti GJ 2024 District Cooling</t>
  </si>
  <si>
    <t>Igaunija kWh 2020 District Cooling</t>
  </si>
  <si>
    <t>Estija kWh 2020 District Cooling</t>
  </si>
  <si>
    <t>Eesti kWh 2020 District Cooling</t>
  </si>
  <si>
    <t>Igaunija kWh 2021 District Cooling</t>
  </si>
  <si>
    <t>Estija kWh 2021 District Cooling</t>
  </si>
  <si>
    <t>Eesti kWh 2021 District Cooling</t>
  </si>
  <si>
    <t>Igaunija kWh 2022 District Cooling</t>
  </si>
  <si>
    <t>Estija kWh 2022 District Cooling</t>
  </si>
  <si>
    <t>Eesti kWh 2022 District Cooling</t>
  </si>
  <si>
    <t>Igaunija kWh 2023 District Cooling</t>
  </si>
  <si>
    <t>Estija kWh 2023 District Cooling</t>
  </si>
  <si>
    <t>Eesti kWh 2023 District Cooling</t>
  </si>
  <si>
    <t>Igaunija kWh 2024 District Cooling</t>
  </si>
  <si>
    <t>Estija kWh 2024 District Cooling</t>
  </si>
  <si>
    <t>Eesti kWh 2024 District Cooling</t>
  </si>
  <si>
    <t>Igaunija MWh 2020 District Cooling</t>
  </si>
  <si>
    <t>Estija MWh 2020 District Cooling</t>
  </si>
  <si>
    <t>Eesti MWh 2020 District Cooling</t>
  </si>
  <si>
    <t>Igaunija MWh 2021 District Cooling</t>
  </si>
  <si>
    <t>Estija MWh 2021 District Cooling</t>
  </si>
  <si>
    <t>Eesti MWh 2021 District Cooling</t>
  </si>
  <si>
    <t>Igaunija MWh 2022 District Cooling</t>
  </si>
  <si>
    <t>Estija MWh 2022 District Cooling</t>
  </si>
  <si>
    <t>Eesti MWh 2022 District Cooling</t>
  </si>
  <si>
    <t>Igaunija MWh 2023 District Cooling</t>
  </si>
  <si>
    <t>Estija MWh 2023 District Cooling</t>
  </si>
  <si>
    <t>Eesti MWh 2023 District Cooling</t>
  </si>
  <si>
    <t>Igaunija MWh 2024 District Cooling</t>
  </si>
  <si>
    <t>Estija MWh 2024 District Cooling</t>
  </si>
  <si>
    <t>Eesti MWh 2024 District Cooling</t>
  </si>
  <si>
    <t>Latvija GJ 2020 District Cooling</t>
  </si>
  <si>
    <t>Läti GJ 2020 District Cooling</t>
  </si>
  <si>
    <t>tCO2</t>
  </si>
  <si>
    <t>Latvian Ministry of Climate, LINK: https://www.kem.gov.lv/lv/siltumnicefekta-gazu-emisiju-aprekina-metodika (access: 31/01/2025)</t>
  </si>
  <si>
    <t>Latvija GJ 2021 District Cooling</t>
  </si>
  <si>
    <t>Läti GJ 2021 District Cooling</t>
  </si>
  <si>
    <t>Latvija GJ 2022 District Cooling</t>
  </si>
  <si>
    <t>Läti GJ 2022 District Cooling</t>
  </si>
  <si>
    <t>Latvija GJ 2023 District Cooling</t>
  </si>
  <si>
    <t>Läti GJ 2023 District Cooling</t>
  </si>
  <si>
    <t>Latvija GJ 2024 District Cooling</t>
  </si>
  <si>
    <t>Läti GJ 2024 District Cooling</t>
  </si>
  <si>
    <t>Latvija kWh 2020 District Cooling</t>
  </si>
  <si>
    <t>Läti kWh 2020 District Cooling</t>
  </si>
  <si>
    <t>Latvija kWh 2021 District Cooling</t>
  </si>
  <si>
    <t>Läti kWh 2021 District Cooling</t>
  </si>
  <si>
    <t>Latvija kWh 2022 District Cooling</t>
  </si>
  <si>
    <t>Läti kWh 2022 District Cooling</t>
  </si>
  <si>
    <t>Latvija kWh 2023 District Cooling</t>
  </si>
  <si>
    <t>Läti kWh 2023 District Cooling</t>
  </si>
  <si>
    <t>Latvija kWh 2024 District Cooling</t>
  </si>
  <si>
    <t>Läti kWh 2024 District Cooling</t>
  </si>
  <si>
    <t>Latvija MWh 2020 District Cooling</t>
  </si>
  <si>
    <t>Läti MWh 2020 District Cooling</t>
  </si>
  <si>
    <t>Latvija MWh 2021 District Cooling</t>
  </si>
  <si>
    <t>Läti MWh 2021 District Cooling</t>
  </si>
  <si>
    <t>Latvija MWh 2022 District Cooling</t>
  </si>
  <si>
    <t>Läti MWh 2022 District Cooling</t>
  </si>
  <si>
    <t>Latvija MWh 2023 District Cooling</t>
  </si>
  <si>
    <t>Läti MWh 2023 District Cooling</t>
  </si>
  <si>
    <t>Latvija MWh 2024 District Cooling</t>
  </si>
  <si>
    <t>Läti MWh 2024 District Cooling</t>
  </si>
  <si>
    <t>Lietuva GJ 2020 District Cooling</t>
  </si>
  <si>
    <t>Leedu GJ 2020 District Cooling</t>
  </si>
  <si>
    <t>Lithuanian GHG National inventory report, LINK: https://www.e-tar.lt/portal/lt/legalAct/TAR.A2E8B0079BC9/asr (access: 31/01/2025)</t>
  </si>
  <si>
    <t>Lietuva GJ 2021 District Cooling</t>
  </si>
  <si>
    <t>Leedu GJ 2021 District Cooling</t>
  </si>
  <si>
    <t>Lietuva GJ 2022 District Cooling</t>
  </si>
  <si>
    <t>Leedu GJ 2022 District Cooling</t>
  </si>
  <si>
    <t>Lietuva GJ 2023 District Cooling</t>
  </si>
  <si>
    <t>Leedu GJ 2023 District Cooling</t>
  </si>
  <si>
    <t>Lietuva GJ 2024 District Cooling</t>
  </si>
  <si>
    <t>Leedu GJ 2024 District Cooling</t>
  </si>
  <si>
    <t>Lietuva kWh 2020 District Cooling</t>
  </si>
  <si>
    <t>Leedu kWh 2020 District Cooling</t>
  </si>
  <si>
    <t>Lietuva kWh 2021 District Cooling</t>
  </si>
  <si>
    <t>Leedu kWh 2021 District Cooling</t>
  </si>
  <si>
    <t>Lietuva kWh 2022 District Cooling</t>
  </si>
  <si>
    <t>Leedu kWh 2022 District Cooling</t>
  </si>
  <si>
    <t>Lietuva kWh 2023 District Cooling</t>
  </si>
  <si>
    <t>Leedu kWh 2023 District Cooling</t>
  </si>
  <si>
    <t>Lietuva kWh 2024 District Cooling</t>
  </si>
  <si>
    <t>Leedu kWh 2024 District Cooling</t>
  </si>
  <si>
    <t>Lietuva MWh 2020 District Cooling</t>
  </si>
  <si>
    <t>Leedu MWh 2020 District Cooling</t>
  </si>
  <si>
    <t>Lietuva MWh 2021 District Cooling</t>
  </si>
  <si>
    <t>Leedu MWh 2021 District Cooling</t>
  </si>
  <si>
    <t>Lietuva MWh 2022 District Cooling</t>
  </si>
  <si>
    <t>Leedu MWh 2022 District Cooling</t>
  </si>
  <si>
    <t>Lietuva MWh 2023 District Cooling</t>
  </si>
  <si>
    <t>Leedu MWh 2023 District Cooling</t>
  </si>
  <si>
    <t>Lietuva MWh 2024 District Cooling</t>
  </si>
  <si>
    <t>Leedu MWh 2024 District Cooling</t>
  </si>
  <si>
    <t>Igaunija GJ 2020 District Heating</t>
  </si>
  <si>
    <t>Estija GJ 2020 District Heating</t>
  </si>
  <si>
    <t>Eesti GJ 2020 District Heating</t>
  </si>
  <si>
    <t>Igaunija GJ 2021 District Heating</t>
  </si>
  <si>
    <t>Estija GJ 2021 District Heating</t>
  </si>
  <si>
    <t>Eesti GJ 2021 District Heating</t>
  </si>
  <si>
    <t>Igaunija GJ 2022 District Heating</t>
  </si>
  <si>
    <t>Estija GJ 2022 District Heating</t>
  </si>
  <si>
    <t>Eesti GJ 2022 District Heating</t>
  </si>
  <si>
    <t>Igaunija GJ 2023 District Heating</t>
  </si>
  <si>
    <t>Estija GJ 2023 District Heating</t>
  </si>
  <si>
    <t>Eesti GJ 2023 District Heating</t>
  </si>
  <si>
    <t>Igaunija GJ 2024 District Heating</t>
  </si>
  <si>
    <t>Estija GJ 2024 District Heating</t>
  </si>
  <si>
    <t>Eesti GJ 2024 District Heating</t>
  </si>
  <si>
    <t>Igaunija kWh 2020 District Heating</t>
  </si>
  <si>
    <t>Estija kWh 2020 District Heating</t>
  </si>
  <si>
    <t>Eesti kWh 2020 District Heating</t>
  </si>
  <si>
    <t>Igaunija kWh 2021 District Heating</t>
  </si>
  <si>
    <t>Estija kWh 2021 District Heating</t>
  </si>
  <si>
    <t>Eesti kWh 2021 District Heating</t>
  </si>
  <si>
    <t>Igaunija kWh 2022 District Heating</t>
  </si>
  <si>
    <t>Estija kWh 2022 District Heating</t>
  </si>
  <si>
    <t>Eesti kWh 2022 District Heating</t>
  </si>
  <si>
    <t>Igaunija kWh 2023 District Heating</t>
  </si>
  <si>
    <t>Estija kWh 2023 District Heating</t>
  </si>
  <si>
    <t>Eesti kWh 2023 District Heating</t>
  </si>
  <si>
    <t>Igaunija kWh 2024 District Heating</t>
  </si>
  <si>
    <t>Estija kWh 2024 District Heating</t>
  </si>
  <si>
    <t>Eesti kWh 2024 District Heating</t>
  </si>
  <si>
    <t>Igaunija MWh 2020 District Heating</t>
  </si>
  <si>
    <t>Estija MWh 2020 District Heating</t>
  </si>
  <si>
    <t>Eesti MWh 2020 District Heating</t>
  </si>
  <si>
    <t>Igaunija MWh 2021 District Heating</t>
  </si>
  <si>
    <t>Estija MWh 2021 District Heating</t>
  </si>
  <si>
    <t>Eesti MWh 2021 District Heating</t>
  </si>
  <si>
    <t>Igaunija MWh 2022 District Heating</t>
  </si>
  <si>
    <t>Estija MWh 2022 District Heating</t>
  </si>
  <si>
    <t>Eesti MWh 2022 District Heating</t>
  </si>
  <si>
    <t>Igaunija MWh 2023 District Heating</t>
  </si>
  <si>
    <t>Estija MWh 2023 District Heating</t>
  </si>
  <si>
    <t>Eesti MWh 2023 District Heating</t>
  </si>
  <si>
    <t>Igaunija MWh 2024 District Heating</t>
  </si>
  <si>
    <t>Estija MWh 2024 District Heating</t>
  </si>
  <si>
    <t>Eesti MWh 2024 District Heating</t>
  </si>
  <si>
    <t>Latvija GJ 2020 District Heating</t>
  </si>
  <si>
    <t>Läti GJ 2020 District Heating</t>
  </si>
  <si>
    <t>Latvija GJ 2021 District Heating</t>
  </si>
  <si>
    <t>Läti GJ 2021 District Heating</t>
  </si>
  <si>
    <t>Latvija GJ 2022 District Heating</t>
  </si>
  <si>
    <t>Läti GJ 2022 District Heating</t>
  </si>
  <si>
    <t>Latvija GJ 2023 District Heating</t>
  </si>
  <si>
    <t>Läti GJ 2023 District Heating</t>
  </si>
  <si>
    <t>Latvija GJ 2024 District Heating</t>
  </si>
  <si>
    <t>Läti GJ 2024 District Heating</t>
  </si>
  <si>
    <t>Latvija kWh 2020 District Heating</t>
  </si>
  <si>
    <t>Läti kWh 2020 District Heating</t>
  </si>
  <si>
    <t>Latvija kWh 2021 District Heating</t>
  </si>
  <si>
    <t>Läti kWh 2021 District Heating</t>
  </si>
  <si>
    <t>Latvija kWh 2022 District Heating</t>
  </si>
  <si>
    <t>Läti kWh 2022 District Heating</t>
  </si>
  <si>
    <t>Latvija kWh 2023 District Heating</t>
  </si>
  <si>
    <t>Läti kWh 2023 District Heating</t>
  </si>
  <si>
    <t>Latvija kWh 2024 District Heating</t>
  </si>
  <si>
    <t>Läti kWh 2024 District Heating</t>
  </si>
  <si>
    <t>Latvija MWh 2020 District Heating</t>
  </si>
  <si>
    <t>Läti MWh 2020 District Heating</t>
  </si>
  <si>
    <t>Latvija MWh 2021 District Heating</t>
  </si>
  <si>
    <t>Läti MWh 2021 District Heating</t>
  </si>
  <si>
    <t>Latvija MWh 2022 District Heating</t>
  </si>
  <si>
    <t>Läti MWh 2022 District Heating</t>
  </si>
  <si>
    <t>Latvija MWh 2023 District Heating</t>
  </si>
  <si>
    <t>Läti MWh 2023 District Heating</t>
  </si>
  <si>
    <t>Latvija MWh 2024 District Heating</t>
  </si>
  <si>
    <t>Läti MWh 2024 District Heating</t>
  </si>
  <si>
    <t>Lietuva GJ 2020 District Heating</t>
  </si>
  <si>
    <t>Leedu GJ 2020 District Heating</t>
  </si>
  <si>
    <t>Lietuva GJ 2021 District Heating</t>
  </si>
  <si>
    <t>Leedu GJ 2021 District Heating</t>
  </si>
  <si>
    <t>Lietuva GJ 2022 District Heating</t>
  </si>
  <si>
    <t>Leedu GJ 2022 District Heating</t>
  </si>
  <si>
    <t>Lietuva GJ 2023 District Heating</t>
  </si>
  <si>
    <t>Leedu GJ 2023 District Heating</t>
  </si>
  <si>
    <t>Lietuva GJ 2024 District Heating</t>
  </si>
  <si>
    <t>Leedu GJ 2024 District Heating</t>
  </si>
  <si>
    <t>Lietuva kWh 2020 District Heating</t>
  </si>
  <si>
    <t>Leedu kWh 2020 District Heating</t>
  </si>
  <si>
    <t>Lietuva kWh 2021 District Heating</t>
  </si>
  <si>
    <t>Leedu kWh 2021 District Heating</t>
  </si>
  <si>
    <t>Lietuva kWh 2022 District Heating</t>
  </si>
  <si>
    <t>Leedu kWh 2022 District Heating</t>
  </si>
  <si>
    <t>Lietuva kWh 2023 District Heating</t>
  </si>
  <si>
    <t>Leedu kWh 2023 District Heating</t>
  </si>
  <si>
    <t>Lietuva kWh 2024 District Heating</t>
  </si>
  <si>
    <t>Leedu kWh 2024 District Heating</t>
  </si>
  <si>
    <t>Lietuva MWh 2020 District Heating</t>
  </si>
  <si>
    <t>Leedu MWh 2020 District Heating</t>
  </si>
  <si>
    <t>Lietuva MWh 2021 District Heating</t>
  </si>
  <si>
    <t>Leedu MWh 2021 District Heating</t>
  </si>
  <si>
    <t>Lietuva MWh 2022 District Heating</t>
  </si>
  <si>
    <t>Leedu MWh 2022 District Heating</t>
  </si>
  <si>
    <t>Lietuva MWh 2023 District Heating</t>
  </si>
  <si>
    <t>Leedu MWh 2023 District Heating</t>
  </si>
  <si>
    <t>Lietuva MWh 2024 District Heating</t>
  </si>
  <si>
    <t>Leedu MWh 2024 District Heating</t>
  </si>
  <si>
    <t>Electricity</t>
  </si>
  <si>
    <t>Electricity - Igaunija (GJ)2020</t>
  </si>
  <si>
    <t>Electricity - Estija (GJ)2020</t>
  </si>
  <si>
    <t>Electricity - Eesti (GJ)2020</t>
  </si>
  <si>
    <t>AIB 2020, v.1.0, 2021/05/31</t>
  </si>
  <si>
    <t>Electricity - Igaunija (GJ)2021</t>
  </si>
  <si>
    <t>Electricity - Estija (GJ)2021</t>
  </si>
  <si>
    <t>Electricity - Eesti (GJ)2021</t>
  </si>
  <si>
    <t>AIB 2021, v.1.1, 2022/05/31</t>
  </si>
  <si>
    <t>Electricity - Igaunija (GJ)2022</t>
  </si>
  <si>
    <t>Electricity - Estija (GJ)2022</t>
  </si>
  <si>
    <t>Electricity - Eesti (GJ)2022</t>
  </si>
  <si>
    <t>AIB 2022, v.1.0, 2023/05/26</t>
  </si>
  <si>
    <t>Electricity - Igaunija (GJ)2023</t>
  </si>
  <si>
    <t>Electricity - Estija (GJ)2023</t>
  </si>
  <si>
    <t>Electricity - Eesti (GJ)2023</t>
  </si>
  <si>
    <t>AIB 2023, v.1.0, 2024/05/30</t>
  </si>
  <si>
    <t>Electricity - Igaunija (GJ)2024</t>
  </si>
  <si>
    <t>Electricity - Estija (GJ)2024</t>
  </si>
  <si>
    <t>Electricity - Eesti (GJ)2024</t>
  </si>
  <si>
    <t>Electricity - Igaunija (GWh)2020</t>
  </si>
  <si>
    <t>Electricity - Estija (GWh)2020</t>
  </si>
  <si>
    <t>Electricity - Eesti (GWh)2020</t>
  </si>
  <si>
    <t>Electricity - Igaunija (GWh)2021</t>
  </si>
  <si>
    <t>Electricity - Estija (GWh)2021</t>
  </si>
  <si>
    <t>Electricity - Eesti (GWh)2021</t>
  </si>
  <si>
    <t>Electricity - Igaunija (GWh)2022</t>
  </si>
  <si>
    <t>Electricity - Estija (GWh)2022</t>
  </si>
  <si>
    <t>Electricity - Eesti (GWh)2022</t>
  </si>
  <si>
    <t>Electricity - Igaunija (GWh)2023</t>
  </si>
  <si>
    <t>Electricity - Estija (GWh)2023</t>
  </si>
  <si>
    <t>Electricity - Eesti (GWh)2023</t>
  </si>
  <si>
    <t>Electricity - Igaunija (GWh)2024</t>
  </si>
  <si>
    <t>Electricity - Estija (GWh)2024</t>
  </si>
  <si>
    <t>Electricity - Eesti (GWh)2024</t>
  </si>
  <si>
    <t>Electricity - Igaunija (kWh)2020</t>
  </si>
  <si>
    <t>Electricity - Estija (kWh)2020</t>
  </si>
  <si>
    <t>Electricity - Eesti (kWh)2020</t>
  </si>
  <si>
    <t>Electricity - Igaunija (kWh)2021</t>
  </si>
  <si>
    <t>Electricity - Estija (kWh)2021</t>
  </si>
  <si>
    <t>Electricity - Eesti (kWh)2021</t>
  </si>
  <si>
    <t>Electricity - Igaunija (kWh)2022</t>
  </si>
  <si>
    <t>Electricity - Estija (kWh)2022</t>
  </si>
  <si>
    <t>Electricity - Eesti (kWh)2022</t>
  </si>
  <si>
    <t>Electricity - Igaunija (kWh)2023</t>
  </si>
  <si>
    <t>Electricity - Estija (kWh)2023</t>
  </si>
  <si>
    <t>Electricity - Eesti (kWh)2023</t>
  </si>
  <si>
    <t>Electricity - Igaunija (kWh)2024</t>
  </si>
  <si>
    <t>Electricity - Estija (kWh)2024</t>
  </si>
  <si>
    <t>Electricity - Eesti (kWh)2024</t>
  </si>
  <si>
    <t>Electricity - Igaunija (MWh)2020</t>
  </si>
  <si>
    <t>Electricity - Estija (MWh)2020</t>
  </si>
  <si>
    <t>Electricity - Eesti (MWh)2020</t>
  </si>
  <si>
    <t>Electricity - Igaunija (MWh)2021</t>
  </si>
  <si>
    <t>Electricity - Estija (MWh)2021</t>
  </si>
  <si>
    <t>Electricity - Eesti (MWh)2021</t>
  </si>
  <si>
    <t>Electricity - Igaunija (MWh)2022</t>
  </si>
  <si>
    <t>Electricity - Estija (MWh)2022</t>
  </si>
  <si>
    <t>Electricity - Eesti (MWh)2022</t>
  </si>
  <si>
    <t>Electricity - Igaunija (MWh)2023</t>
  </si>
  <si>
    <t>Electricity - Estija (MWh)2023</t>
  </si>
  <si>
    <t>Electricity - Eesti (MWh)2023</t>
  </si>
  <si>
    <t>Electricity - Igaunija (MWh)2024</t>
  </si>
  <si>
    <t>Electricity - Estija (MWh)2024</t>
  </si>
  <si>
    <t>Electricity - Eesti (MWh)2024</t>
  </si>
  <si>
    <t>Electricity - Latvija (GJ)2020</t>
  </si>
  <si>
    <t>Electricity - Läti (GJ)2020</t>
  </si>
  <si>
    <t>Electricity - Latvija (GJ)2021</t>
  </si>
  <si>
    <t>Electricity - Läti (GJ)2021</t>
  </si>
  <si>
    <t>Electricity - Latvija (GJ)2022</t>
  </si>
  <si>
    <t>Electricity - Läti (GJ)2022</t>
  </si>
  <si>
    <t>Electricity - Latvija (GJ)2023</t>
  </si>
  <si>
    <t>Electricity - Läti (GJ)2023</t>
  </si>
  <si>
    <t>Electricity - Latvija (GJ)2024</t>
  </si>
  <si>
    <t>Electricity - Läti (GJ)2024</t>
  </si>
  <si>
    <t>Electricity - Latvija (GWh)2020</t>
  </si>
  <si>
    <t>Electricity - Läti (GWh)2020</t>
  </si>
  <si>
    <t>Electricity - Latvija (GWh)2021</t>
  </si>
  <si>
    <t>Electricity - Läti (GWh)2021</t>
  </si>
  <si>
    <t>Electricity - Latvija (GWh)2022</t>
  </si>
  <si>
    <t>Electricity - Läti (GWh)2022</t>
  </si>
  <si>
    <t>Electricity - Latvija (GWh)2023</t>
  </si>
  <si>
    <t>Electricity - Läti (GWh)2023</t>
  </si>
  <si>
    <t>Electricity - Latvija (GWh)2024</t>
  </si>
  <si>
    <t>Electricity - Läti (GWh)2024</t>
  </si>
  <si>
    <t>Electricity - Latvija (kWh)2020</t>
  </si>
  <si>
    <t>Electricity - Läti (kWh)2020</t>
  </si>
  <si>
    <t>Electricity - Latvija (kWh)2021</t>
  </si>
  <si>
    <t>Electricity - Läti (kWh)2021</t>
  </si>
  <si>
    <t>Electricity - Latvija (kWh)2022</t>
  </si>
  <si>
    <t>Electricity - Läti (kWh)2022</t>
  </si>
  <si>
    <t>Electricity - Latvija (kWh)2023</t>
  </si>
  <si>
    <t>Electricity - Läti (kWh)2023</t>
  </si>
  <si>
    <t>Electricity - Latvija (kWh)2024</t>
  </si>
  <si>
    <t>Electricity - Läti (kWh)2024</t>
  </si>
  <si>
    <t>Electricity - Latvija (MWh)2020</t>
  </si>
  <si>
    <t>Electricity - Läti (MWh)2020</t>
  </si>
  <si>
    <t>Electricity - Latvija (MWh)2021</t>
  </si>
  <si>
    <t>Electricity - Läti (MWh)2021</t>
  </si>
  <si>
    <t>Electricity - Latvija (MWh)2022</t>
  </si>
  <si>
    <t>Electricity - Läti (MWh)2022</t>
  </si>
  <si>
    <t>Electricity - Latvija (MWh)2023</t>
  </si>
  <si>
    <t>Electricity - Läti (MWh)2023</t>
  </si>
  <si>
    <t>Electricity - Latvija (MWh)2024</t>
  </si>
  <si>
    <t>Electricity - Läti (MWh)2024</t>
  </si>
  <si>
    <t>Electricity - Lietuva (GJ)2020</t>
  </si>
  <si>
    <t>Electricity - Leedu (GJ)2020</t>
  </si>
  <si>
    <t>Electricity - Lietuva (GJ)2021</t>
  </si>
  <si>
    <t>Electricity - Leedu (GJ)2021</t>
  </si>
  <si>
    <t>Electricity - Lietuva (GJ)2022</t>
  </si>
  <si>
    <t>Electricity - Leedu (GJ)2022</t>
  </si>
  <si>
    <t>Electricity - Lietuva (GJ)2023</t>
  </si>
  <si>
    <t>Electricity - Leedu (GJ)2023</t>
  </si>
  <si>
    <t>Electricity - Lietuva (GJ)2024</t>
  </si>
  <si>
    <t>Electricity - Leedu (GJ)2024</t>
  </si>
  <si>
    <t>Electricity - Lietuva (GWh)2020</t>
  </si>
  <si>
    <t>Electricity - Leedu (GWh)2020</t>
  </si>
  <si>
    <t>Electricity - Lietuva (GWh)2021</t>
  </si>
  <si>
    <t>Electricity - Leedu (GWh)2021</t>
  </si>
  <si>
    <t>Electricity - Lietuva (GWh)2022</t>
  </si>
  <si>
    <t>Electricity - Leedu (GWh)2022</t>
  </si>
  <si>
    <t>Electricity - Lietuva (GWh)2023</t>
  </si>
  <si>
    <t>Electricity - Leedu (GWh)2023</t>
  </si>
  <si>
    <t>Electricity - Lietuva (GWh)2024</t>
  </si>
  <si>
    <t>Electricity - Leedu (GWh)2024</t>
  </si>
  <si>
    <t>Electricity - Lietuva (kWh)2020</t>
  </si>
  <si>
    <t>Electricity - Leedu (kWh)2020</t>
  </si>
  <si>
    <t>Electricity - Lietuva (kWh)2021</t>
  </si>
  <si>
    <t>Electricity - Leedu (kWh)2021</t>
  </si>
  <si>
    <t>Electricity - Lietuva (kWh)2022</t>
  </si>
  <si>
    <t>Electricity - Leedu (kWh)2022</t>
  </si>
  <si>
    <t>Electricity - Lietuva (kWh)2023</t>
  </si>
  <si>
    <t>Electricity - Leedu (kWh)2023</t>
  </si>
  <si>
    <t>Electricity - Lietuva (kWh)2024</t>
  </si>
  <si>
    <t>Electricity - Leedu (kWh)2024</t>
  </si>
  <si>
    <t>Electricity - Lietuva (MWh)2020</t>
  </si>
  <si>
    <t>Electricity - Leedu (MWh)2020</t>
  </si>
  <si>
    <t>Electricity - Lietuva (MWh)2021</t>
  </si>
  <si>
    <t>Electricity - Leedu (MWh)2021</t>
  </si>
  <si>
    <t>AIB 2021, v.1.1, 2022-05-31</t>
  </si>
  <si>
    <t>Electricity - Lietuva (MWh)2022</t>
  </si>
  <si>
    <t>Electricity - Leedu (MWh)2022</t>
  </si>
  <si>
    <t>Electricity - Lietuva (MWh)2023</t>
  </si>
  <si>
    <t>Electricity - Leedu (MWh)2023</t>
  </si>
  <si>
    <t>Electricity - Lietuva (MWh)2024</t>
  </si>
  <si>
    <t>Electricity - Leedu (MWh)2024</t>
  </si>
  <si>
    <t>Enteric Fermantation</t>
  </si>
  <si>
    <t>EF Dairy cattle Igaunija</t>
  </si>
  <si>
    <t>EF Dairy cattle Estija</t>
  </si>
  <si>
    <t>EF Dairy cattle Eesti</t>
  </si>
  <si>
    <t>EF Dairy cattle Latvija</t>
  </si>
  <si>
    <t>EF Dairy cattle Läti</t>
  </si>
  <si>
    <t>EF Dairy cattle Lietuva</t>
  </si>
  <si>
    <t>EF Dairy cattle Leedu</t>
  </si>
  <si>
    <t>EF Goats Igaunija</t>
  </si>
  <si>
    <t>EF Goats Estija</t>
  </si>
  <si>
    <t>EF Goats Eesti</t>
  </si>
  <si>
    <t>EF Goats Latvija</t>
  </si>
  <si>
    <t>EF Goats Läti</t>
  </si>
  <si>
    <t>EF Goats Lietuva</t>
  </si>
  <si>
    <t>EF Goats Leedu</t>
  </si>
  <si>
    <t>EF Horses Igaunija</t>
  </si>
  <si>
    <t>EF Horses Estija</t>
  </si>
  <si>
    <t>EF Horses Eesti</t>
  </si>
  <si>
    <t>EF Horses Latvija</t>
  </si>
  <si>
    <t>EF Horses Läti</t>
  </si>
  <si>
    <t>EF Horses Lietuva</t>
  </si>
  <si>
    <t>EF Horses Leedu</t>
  </si>
  <si>
    <t>EF Non-dairy cattle Igaunija</t>
  </si>
  <si>
    <t>EF Non-dairy cattle Estija</t>
  </si>
  <si>
    <t>EF Non-dairy cattle Eesti</t>
  </si>
  <si>
    <t>EF Non-dairy cattle Latvija</t>
  </si>
  <si>
    <t>EF Non-dairy cattle Läti</t>
  </si>
  <si>
    <t>EF Non-dairy cattle Lietuva</t>
  </si>
  <si>
    <t>EF Non-dairy cattle Leedu</t>
  </si>
  <si>
    <t>EF Poultry Igaunija</t>
  </si>
  <si>
    <t>EF Poultry Estija</t>
  </si>
  <si>
    <t>EF Poultry Eesti</t>
  </si>
  <si>
    <t>EF Poultry Latvija</t>
  </si>
  <si>
    <t>EF Poultry Läti</t>
  </si>
  <si>
    <t>EF Poultry Lietuva</t>
  </si>
  <si>
    <t>EF Poultry Leedu</t>
  </si>
  <si>
    <t>EF Rabbit Igaunija</t>
  </si>
  <si>
    <t>EF Rabbit Estija</t>
  </si>
  <si>
    <t>EF Rabbit Eesti</t>
  </si>
  <si>
    <t>EF Rabbit Latvija</t>
  </si>
  <si>
    <t>EF Rabbit Läti</t>
  </si>
  <si>
    <t>EF Rabbit Lietuva</t>
  </si>
  <si>
    <t>EF Rabbit Leedu</t>
  </si>
  <si>
    <t>EF Sheep Igaunija</t>
  </si>
  <si>
    <t>EF Sheep Estija</t>
  </si>
  <si>
    <t>EF Sheep Eesti</t>
  </si>
  <si>
    <t>EF Sheep Latvija</t>
  </si>
  <si>
    <t>EF Sheep Läti</t>
  </si>
  <si>
    <t>EF Sheep Lietuva</t>
  </si>
  <si>
    <t>EF Sheep Leedu</t>
  </si>
  <si>
    <t>EF Swine Igaunija</t>
  </si>
  <si>
    <t>EF Swine Estija</t>
  </si>
  <si>
    <t>EF Swine Eesti</t>
  </si>
  <si>
    <t>EF Swine Latvija</t>
  </si>
  <si>
    <t>EF Swine Läti</t>
  </si>
  <si>
    <t>EF Swine Lietuva</t>
  </si>
  <si>
    <t>EF Swine Leedu</t>
  </si>
  <si>
    <t>Freight</t>
  </si>
  <si>
    <t>Products tanker</t>
  </si>
  <si>
    <t>tkm</t>
  </si>
  <si>
    <t>Fuels</t>
  </si>
  <si>
    <t>AdBlue kg</t>
  </si>
  <si>
    <t>DEFRa methodology sheet</t>
  </si>
  <si>
    <t>Burning Oil GWh</t>
  </si>
  <si>
    <t>Burning Oil kWh</t>
  </si>
  <si>
    <t>Burning Oil L</t>
  </si>
  <si>
    <t>Burning Oil Litres</t>
  </si>
  <si>
    <t>l</t>
  </si>
  <si>
    <t>Burning Oil MWh</t>
  </si>
  <si>
    <t>CNG kWh</t>
  </si>
  <si>
    <t>CNG L</t>
  </si>
  <si>
    <t>CNG Litres</t>
  </si>
  <si>
    <t>CNG MWh</t>
  </si>
  <si>
    <t>CNG T</t>
  </si>
  <si>
    <t>CNG Tonnes</t>
  </si>
  <si>
    <t>Coal GWh</t>
  </si>
  <si>
    <t>Coal kWh</t>
  </si>
  <si>
    <t>Coal MWh</t>
  </si>
  <si>
    <t>Coal T</t>
  </si>
  <si>
    <t>Coal Tonnes</t>
  </si>
  <si>
    <t>Diesel t</t>
  </si>
  <si>
    <t>Diesel GWh</t>
  </si>
  <si>
    <t>Diesel kWh</t>
  </si>
  <si>
    <t>Diesel L</t>
  </si>
  <si>
    <t>Diesel Litres</t>
  </si>
  <si>
    <t>Diesel MWh</t>
  </si>
  <si>
    <t>LNG kWh</t>
  </si>
  <si>
    <t>LNG L</t>
  </si>
  <si>
    <t>LNG Litres</t>
  </si>
  <si>
    <t>LNG MWh</t>
  </si>
  <si>
    <t>LNG T</t>
  </si>
  <si>
    <t>LNG Tonnes</t>
  </si>
  <si>
    <t>LPG GWh</t>
  </si>
  <si>
    <t>LPG kWh</t>
  </si>
  <si>
    <t>LPG L</t>
  </si>
  <si>
    <t>LPG Litres</t>
  </si>
  <si>
    <t>LPG MWh</t>
  </si>
  <si>
    <t>LPG T</t>
  </si>
  <si>
    <t>LPG Tonnes</t>
  </si>
  <si>
    <t>Naphta</t>
  </si>
  <si>
    <t>Natural Gas GJ</t>
  </si>
  <si>
    <t>Natural Gas GWh</t>
  </si>
  <si>
    <t>Natural Gas kWh</t>
  </si>
  <si>
    <t>Natural Gas m3</t>
  </si>
  <si>
    <t>m3</t>
  </si>
  <si>
    <t>Natural Gas MWh</t>
  </si>
  <si>
    <t>Petrol kWh</t>
  </si>
  <si>
    <t>Petrol L</t>
  </si>
  <si>
    <t>Petrol Litres</t>
  </si>
  <si>
    <t>Petrol MWh</t>
  </si>
  <si>
    <t>Petrol t</t>
  </si>
  <si>
    <t>Propane GWh</t>
  </si>
  <si>
    <t>Propane kWh</t>
  </si>
  <si>
    <t>Propane L</t>
  </si>
  <si>
    <t>Propane Litres</t>
  </si>
  <si>
    <t>Propane MWh</t>
  </si>
  <si>
    <t>Propane T</t>
  </si>
  <si>
    <t>Propane Tonnes</t>
  </si>
  <si>
    <t>Heat</t>
  </si>
  <si>
    <t>District Heating GJ</t>
  </si>
  <si>
    <t>District Heating kWh</t>
  </si>
  <si>
    <t>District Heating MWh</t>
  </si>
  <si>
    <t>Manure Management</t>
  </si>
  <si>
    <t>MM Dairy cattle Igaunija</t>
  </si>
  <si>
    <t>MM Dairy cattle Estija</t>
  </si>
  <si>
    <t>MM Dairy cattle Eesti</t>
  </si>
  <si>
    <t>MM Dairy cattle Latvija</t>
  </si>
  <si>
    <t>MM Dairy cattle Läti</t>
  </si>
  <si>
    <t>MM Dairy cattle Lietuva</t>
  </si>
  <si>
    <t>MM Dairy cattle Leedu</t>
  </si>
  <si>
    <t>MM Goats Igaunija</t>
  </si>
  <si>
    <t>MM Goats Estija</t>
  </si>
  <si>
    <t>MM Goats Eesti</t>
  </si>
  <si>
    <t>MM Goats Latvija</t>
  </si>
  <si>
    <t>MM Goats Läti</t>
  </si>
  <si>
    <t>MM Goats Lietuva</t>
  </si>
  <si>
    <t>MM Goats Leedu</t>
  </si>
  <si>
    <t>MM Horses Igaunija</t>
  </si>
  <si>
    <t>MM Horses Estija</t>
  </si>
  <si>
    <t>MM Horses Eesti</t>
  </si>
  <si>
    <t>MM Horses Latvija</t>
  </si>
  <si>
    <t>MM Horses Läti</t>
  </si>
  <si>
    <t>MM Horses Lietuva</t>
  </si>
  <si>
    <t>MM Horses Leedu</t>
  </si>
  <si>
    <t>MM Non-dairy cattle Igaunija</t>
  </si>
  <si>
    <t>MM Non-dairy cattle Estija</t>
  </si>
  <si>
    <t>MM Non-dairy cattle Eesti</t>
  </si>
  <si>
    <t>MM Non-dairy cattle Latvija</t>
  </si>
  <si>
    <t>MM Non-dairy cattle Läti</t>
  </si>
  <si>
    <t>MM Non-dairy cattle Lietuva</t>
  </si>
  <si>
    <t>MM Non-dairy cattle Leedu</t>
  </si>
  <si>
    <t>MM Poultry Igaunija</t>
  </si>
  <si>
    <t>MM Poultry Estija</t>
  </si>
  <si>
    <t>MM Poultry Eesti</t>
  </si>
  <si>
    <t>MM Poultry Latvija</t>
  </si>
  <si>
    <t>MM Poultry Läti</t>
  </si>
  <si>
    <t>MM Poultry Lietuva</t>
  </si>
  <si>
    <t>MM Poultry Leedu</t>
  </si>
  <si>
    <t>MM Rabbit Igaunija</t>
  </si>
  <si>
    <t>MM Rabbit Estija</t>
  </si>
  <si>
    <t>MM Rabbit Eesti</t>
  </si>
  <si>
    <t>MM Rabbit Latvija</t>
  </si>
  <si>
    <t>MM Rabbit Läti</t>
  </si>
  <si>
    <t>MM Rabbit Lietuva</t>
  </si>
  <si>
    <t>MM Rabbit Leedu</t>
  </si>
  <si>
    <t>MM Sheep Igaunija</t>
  </si>
  <si>
    <t>MM Sheep Estija</t>
  </si>
  <si>
    <t>MM Sheep Eesti</t>
  </si>
  <si>
    <t>MM Sheep Latvija</t>
  </si>
  <si>
    <t>MM Sheep Läti</t>
  </si>
  <si>
    <t>MM Sheep Lietuva</t>
  </si>
  <si>
    <t>MM Sheep Leedu</t>
  </si>
  <si>
    <t>MM Swine Igaunija</t>
  </si>
  <si>
    <t>MM Swine Estija</t>
  </si>
  <si>
    <t>MM Swine Eesti</t>
  </si>
  <si>
    <t>MM Swine Latvija</t>
  </si>
  <si>
    <t>MM Swine Läti</t>
  </si>
  <si>
    <t>MM Swine Lietuva</t>
  </si>
  <si>
    <t>MM Swine Leedu</t>
  </si>
  <si>
    <t>Passenger vehicles</t>
  </si>
  <si>
    <t>Bus - Diesel</t>
  </si>
  <si>
    <t>Vieglais automobilis - CNG</t>
  </si>
  <si>
    <t>Passenger Car - CNG</t>
  </si>
  <si>
    <t>Vieglais automobilis - Diesel</t>
  </si>
  <si>
    <t>Passenger Car - Diesel</t>
  </si>
  <si>
    <t>Vieglais automobilis - LPG</t>
  </si>
  <si>
    <t>Passenger Car - LPG</t>
  </si>
  <si>
    <t>Vieglais automobilis - Petrol</t>
  </si>
  <si>
    <t>Passenger Car - Petrol</t>
  </si>
  <si>
    <t>Vieglais automobiliss - unknown</t>
  </si>
  <si>
    <t>Passenger cars - unknown</t>
  </si>
  <si>
    <t>Refrigerants</t>
  </si>
  <si>
    <r>
      <t>CO</t>
    </r>
    <r>
      <rPr>
        <b/>
        <vertAlign val="subscript"/>
        <sz val="11"/>
        <color theme="2" tint="-0.499984740745262"/>
        <rFont val="Calibri"/>
        <family val="2"/>
        <charset val="238"/>
        <scheme val="minor"/>
      </rPr>
      <t>3</t>
    </r>
    <r>
      <rPr>
        <sz val="11"/>
        <color theme="1"/>
        <rFont val="Calibri"/>
        <family val="2"/>
        <charset val="238"/>
        <scheme val="minor"/>
      </rPr>
      <t/>
    </r>
  </si>
  <si>
    <r>
      <t>CO</t>
    </r>
    <r>
      <rPr>
        <b/>
        <vertAlign val="subscript"/>
        <sz val="11"/>
        <color theme="2" tint="-0.499984740745262"/>
        <rFont val="Calibri"/>
        <family val="2"/>
        <charset val="238"/>
        <scheme val="minor"/>
      </rPr>
      <t>4</t>
    </r>
    <r>
      <rPr>
        <sz val="11"/>
        <color theme="1"/>
        <rFont val="Calibri"/>
        <family val="2"/>
        <charset val="238"/>
        <scheme val="minor"/>
      </rPr>
      <t/>
    </r>
  </si>
  <si>
    <r>
      <t>CO</t>
    </r>
    <r>
      <rPr>
        <b/>
        <vertAlign val="subscript"/>
        <sz val="11"/>
        <color theme="2" tint="-0.499984740745262"/>
        <rFont val="Calibri"/>
        <family val="2"/>
        <charset val="238"/>
        <scheme val="minor"/>
      </rPr>
      <t>5</t>
    </r>
    <r>
      <rPr>
        <sz val="11"/>
        <color theme="1"/>
        <rFont val="Calibri"/>
        <family val="2"/>
        <charset val="238"/>
        <scheme val="minor"/>
      </rPr>
      <t/>
    </r>
  </si>
  <si>
    <t>CH4</t>
  </si>
  <si>
    <r>
      <t>CH</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</si>
  <si>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6</t>
    </r>
    <r>
      <rPr>
        <sz val="11"/>
        <color theme="1"/>
        <rFont val="Calibri"/>
        <family val="2"/>
        <charset val="238"/>
        <scheme val="minor"/>
      </rPr>
      <t/>
    </r>
  </si>
  <si>
    <r>
      <t>CH</t>
    </r>
    <r>
      <rPr>
        <b/>
        <vertAlign val="subscript"/>
        <sz val="11"/>
        <color theme="2" tint="-0.499984740745262"/>
        <rFont val="Calibri"/>
        <family val="2"/>
        <charset val="238"/>
        <scheme val="minor"/>
      </rPr>
      <t>7</t>
    </r>
    <r>
      <rPr>
        <sz val="11"/>
        <color theme="1"/>
        <rFont val="Calibri"/>
        <family val="2"/>
        <charset val="238"/>
        <scheme val="minor"/>
      </rPr>
      <t/>
    </r>
  </si>
  <si>
    <r>
      <t>N</t>
    </r>
    <r>
      <rPr>
        <b/>
        <vertAlign val="subscript"/>
        <sz val="11"/>
        <color theme="9" tint="-0.499984740745262"/>
        <rFont val="Calibri"/>
        <family val="2"/>
        <charset val="238"/>
        <scheme val="minor"/>
      </rPr>
      <t>2</t>
    </r>
    <r>
      <rPr>
        <b/>
        <sz val="11"/>
        <color theme="9" tint="-0.499984740745262"/>
        <rFont val="Calibri"/>
        <family val="2"/>
        <charset val="238"/>
        <scheme val="minor"/>
      </rPr>
      <t>O</t>
    </r>
  </si>
  <si>
    <r>
      <t>N</t>
    </r>
    <r>
      <rPr>
        <b/>
        <vertAlign val="subscript"/>
        <sz val="11"/>
        <color theme="2" tint="-0.499984740745262"/>
        <rFont val="Calibri"/>
        <family val="2"/>
        <charset val="238"/>
        <scheme val="minor"/>
      </rPr>
      <t>2</t>
    </r>
    <r>
      <rPr>
        <b/>
        <sz val="11"/>
        <color theme="2" tint="-0.499984740745262"/>
        <rFont val="Calibri"/>
        <family val="2"/>
        <charset val="238"/>
        <scheme val="minor"/>
      </rPr>
      <t>O</t>
    </r>
  </si>
  <si>
    <t>HFC-145</t>
  </si>
  <si>
    <t>HFC-144</t>
  </si>
  <si>
    <t>HFC-146</t>
  </si>
  <si>
    <t>PFC-9-1-20</t>
  </si>
  <si>
    <t>PFC-9-1-19</t>
  </si>
  <si>
    <t>PFC-9-1-21</t>
  </si>
  <si>
    <t>Propaan</t>
  </si>
  <si>
    <t>Spend-based</t>
  </si>
  <si>
    <t>Igaunija - Distribution and trade of electricity</t>
  </si>
  <si>
    <t>Estija - Distribution and trade of electricity</t>
  </si>
  <si>
    <t>Eesti - Distribution and trade of electricity</t>
  </si>
  <si>
    <t>ExioBase 2022, v.3.8.1.</t>
  </si>
  <si>
    <t>Lietuva - Distribution and trade of electricity</t>
  </si>
  <si>
    <t>Leedu - Distribution and trade of electricity</t>
  </si>
  <si>
    <t>Latvija - Distribution and trade of electricity</t>
  </si>
  <si>
    <t>Läti - Distribution and trade of electricity</t>
  </si>
  <si>
    <t>Igaunija GJ 2020 Steam</t>
  </si>
  <si>
    <t>Estija GJ 2020 Steam</t>
  </si>
  <si>
    <t>Eesti GJ 2020 Steam</t>
  </si>
  <si>
    <t>Igaunija GJ 2021 Steam</t>
  </si>
  <si>
    <t>Estija GJ 2021 Steam</t>
  </si>
  <si>
    <t>Eesti GJ 2021 Steam</t>
  </si>
  <si>
    <t>Igaunija GJ 2022 Steam</t>
  </si>
  <si>
    <t>Estija GJ 2022 Steam</t>
  </si>
  <si>
    <t>Eesti GJ 2022 Steam</t>
  </si>
  <si>
    <t>Igaunija GJ 2023 Steam</t>
  </si>
  <si>
    <t>Estija GJ 2023 Steam</t>
  </si>
  <si>
    <t>Eesti GJ 2023 Steam</t>
  </si>
  <si>
    <t>Igaunija GJ 2024 Steam</t>
  </si>
  <si>
    <t>Estija GJ 2024 Steam</t>
  </si>
  <si>
    <t>Eesti GJ 2024 Steam</t>
  </si>
  <si>
    <t>Igaunija kWh 2020 Steam</t>
  </si>
  <si>
    <t>Estija kWh 2020 Steam</t>
  </si>
  <si>
    <t>Eesti kWh 2020 Steam</t>
  </si>
  <si>
    <t>Igaunija kWh 2021 Steam</t>
  </si>
  <si>
    <t>Estija kWh 2021 Steam</t>
  </si>
  <si>
    <t>Eesti kWh 2021 Steam</t>
  </si>
  <si>
    <t>Igaunija kWh 2022 Steam</t>
  </si>
  <si>
    <t>Estija kWh 2022 Steam</t>
  </si>
  <si>
    <t>Eesti kWh 2022 Steam</t>
  </si>
  <si>
    <t>Igaunija kWh 2023 Steam</t>
  </si>
  <si>
    <t>Estija kWh 2023 Steam</t>
  </si>
  <si>
    <t>Eesti kWh 2023 Steam</t>
  </si>
  <si>
    <t>Igaunija kWh 2024 Steam</t>
  </si>
  <si>
    <t>Estija kWh 2024 Steam</t>
  </si>
  <si>
    <t>Eesti kWh 2024 Steam</t>
  </si>
  <si>
    <t>Igaunija MWh 2020 Steam</t>
  </si>
  <si>
    <t>Estija MWh 2020 Steam</t>
  </si>
  <si>
    <t>Eesti MWh 2020 Steam</t>
  </si>
  <si>
    <t>Igaunija MWh 2021 Steam</t>
  </si>
  <si>
    <t>Estija MWh 2021 Steam</t>
  </si>
  <si>
    <t>Eesti MWh 2021 Steam</t>
  </si>
  <si>
    <t>Igaunija MWh 2022 Steam</t>
  </si>
  <si>
    <t>Estija MWh 2022 Steam</t>
  </si>
  <si>
    <t>Eesti MWh 2022 Steam</t>
  </si>
  <si>
    <t>Igaunija MWh 2023 Steam</t>
  </si>
  <si>
    <t>Estija MWh 2023 Steam</t>
  </si>
  <si>
    <t>Eesti MWh 2023 Steam</t>
  </si>
  <si>
    <t>Igaunija MWh 2024 Steam</t>
  </si>
  <si>
    <t>Estija MWh 2024 Steam</t>
  </si>
  <si>
    <t>Eesti MWh 2024 Steam</t>
  </si>
  <si>
    <t>Latvija GJ 2020 Steam</t>
  </si>
  <si>
    <t>Läti GJ 2020 Steam</t>
  </si>
  <si>
    <t>Latvija GJ 2021 Steam</t>
  </si>
  <si>
    <t>Läti GJ 2021 Steam</t>
  </si>
  <si>
    <t>Latvija GJ 2022 Steam</t>
  </si>
  <si>
    <t>Läti GJ 2022 Steam</t>
  </si>
  <si>
    <t>Latvija GJ 2023 Steam</t>
  </si>
  <si>
    <t>Läti GJ 2023 Steam</t>
  </si>
  <si>
    <t>Latvija GJ 2024 Steam</t>
  </si>
  <si>
    <t>Läti GJ 2024 Steam</t>
  </si>
  <si>
    <t>Latvija kWh 2020 Steam</t>
  </si>
  <si>
    <t>Läti kWh 2020 Steam</t>
  </si>
  <si>
    <t>Latvija kWh 2021 Steam</t>
  </si>
  <si>
    <t>Läti kWh 2021 Steam</t>
  </si>
  <si>
    <t>Latvija kWh 2022 Steam</t>
  </si>
  <si>
    <t>Läti kWh 2022 Steam</t>
  </si>
  <si>
    <t>Latvija kWh 2023 Steam</t>
  </si>
  <si>
    <t>Läti kWh 2023 Steam</t>
  </si>
  <si>
    <t>Latvija kWh 2024 Steam</t>
  </si>
  <si>
    <t>Läti kWh 2024 Steam</t>
  </si>
  <si>
    <t>Latvija MWh 2020 Steam</t>
  </si>
  <si>
    <t>Läti MWh 2020 Steam</t>
  </si>
  <si>
    <t>Latvija MWh 2021 Steam</t>
  </si>
  <si>
    <t>Läti MWh 2021 Steam</t>
  </si>
  <si>
    <t>Latvija MWh 2022 Steam</t>
  </si>
  <si>
    <t>Läti MWh 2022 Steam</t>
  </si>
  <si>
    <t>Latvija MWh 2023 Steam</t>
  </si>
  <si>
    <t>Läti MWh 2023 Steam</t>
  </si>
  <si>
    <t>Latvija MWh 2024 Steam</t>
  </si>
  <si>
    <t>Läti MWh 2024 Steam</t>
  </si>
  <si>
    <t>Lietuva GJ 2020 Steam</t>
  </si>
  <si>
    <t>Leedu GJ 2020 Steam</t>
  </si>
  <si>
    <t>Lietuva GJ 2021 Steam</t>
  </si>
  <si>
    <t>Leedu GJ 2021 Steam</t>
  </si>
  <si>
    <t>Lietuva GJ 2022 Steam</t>
  </si>
  <si>
    <t>Leedu GJ 2022 Steam</t>
  </si>
  <si>
    <t>Lietuva GJ 2023 Steam</t>
  </si>
  <si>
    <t>Leedu GJ 2023 Steam</t>
  </si>
  <si>
    <t>Lietuva GJ 2024 Steam</t>
  </si>
  <si>
    <t>Leedu GJ 2024 Steam</t>
  </si>
  <si>
    <t>Lietuva kWh 2020 Steam</t>
  </si>
  <si>
    <t>Leedu kWh 2020 Steam</t>
  </si>
  <si>
    <t>Lietuva kWh 2021 Steam</t>
  </si>
  <si>
    <t>Leedu kWh 2021 Steam</t>
  </si>
  <si>
    <t>Lietuva kWh 2022 Steam</t>
  </si>
  <si>
    <t>Leedu kWh 2022 Steam</t>
  </si>
  <si>
    <t>Lietuva kWh 2023 Steam</t>
  </si>
  <si>
    <t>Leedu kWh 2023 Steam</t>
  </si>
  <si>
    <t>Lietuva kWh 2024 Steam</t>
  </si>
  <si>
    <t>Leedu kWh 2024 Steam</t>
  </si>
  <si>
    <t>Lietuva MWh 2020 Steam</t>
  </si>
  <si>
    <t>Leedu MWh 2020 Steam</t>
  </si>
  <si>
    <t>Lietuva MWh 2021 Steam</t>
  </si>
  <si>
    <t>Leedu MWh 2021 Steam</t>
  </si>
  <si>
    <t>Lietuva MWh 2022 Steam</t>
  </si>
  <si>
    <t>Leedu MWh 2022 Steam</t>
  </si>
  <si>
    <t>Lietuva MWh 2023 Steam</t>
  </si>
  <si>
    <t>Leedu MWh 2023 Steam</t>
  </si>
  <si>
    <t>Lietuva MWh 2024 Steam</t>
  </si>
  <si>
    <t>Leedu MWh 2024 Steam</t>
  </si>
  <si>
    <t>EUR per 1L</t>
  </si>
  <si>
    <t>Estonia</t>
  </si>
  <si>
    <t>Latvia</t>
  </si>
  <si>
    <t>Lithuania</t>
  </si>
  <si>
    <t>L per 1 EUR</t>
  </si>
  <si>
    <t>Source:</t>
  </si>
  <si>
    <t>Weekly Oil Bulletin Prices History</t>
  </si>
  <si>
    <t>2020 Igaunija</t>
  </si>
  <si>
    <t>2021 Igaunija</t>
  </si>
  <si>
    <t>2022 Igaunija</t>
  </si>
  <si>
    <t>2023 Igaunija</t>
  </si>
  <si>
    <t>2024 Igaunija</t>
  </si>
  <si>
    <t>2020 Latvija</t>
  </si>
  <si>
    <t>2021 Latvija</t>
  </si>
  <si>
    <t>2022 Latvija</t>
  </si>
  <si>
    <t>2023 Latvija</t>
  </si>
  <si>
    <t>2024 Latvija</t>
  </si>
  <si>
    <t>2020 Lietuva</t>
  </si>
  <si>
    <t>2021 Lietuva</t>
  </si>
  <si>
    <t>2022 Lietuva</t>
  </si>
  <si>
    <t>2023 Lietuva</t>
  </si>
  <si>
    <t>2024 Lietuva</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</si>
  <si>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</si>
  <si>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</si>
  <si>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</si>
  <si>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</si>
  <si>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</si>
  <si>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</si>
  <si>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</si>
  <si>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</si>
  <si>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</si>
  <si>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</si>
  <si>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</si>
  <si>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CIBSE Guide F</t>
  </si>
  <si>
    <t>CONVERSION FACTORS</t>
  </si>
  <si>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</si>
  <si>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</si>
  <si>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</si>
  <si>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</si>
  <si>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</si>
  <si>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</si>
  <si>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</si>
  <si>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</si>
  <si>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</si>
  <si>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</si>
  <si>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</si>
  <si>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</si>
  <si>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</si>
  <si>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</si>
  <si>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</si>
  <si>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</si>
  <si>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</si>
  <si>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</si>
  <si>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</si>
  <si>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</si>
  <si>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</si>
  <si>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</si>
  <si>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</si>
  <si>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</si>
  <si>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</si>
  <si>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</si>
  <si>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</si>
  <si>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</si>
  <si>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</si>
  <si>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</si>
  <si>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</si>
  <si>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</si>
  <si>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</si>
  <si>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</si>
  <si>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</si>
  <si>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</si>
  <si>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</si>
  <si>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</si>
  <si>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</si>
  <si>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</si>
  <si>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</si>
  <si>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</si>
  <si>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</si>
  <si>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</si>
  <si>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</si>
  <si>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</si>
  <si>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</si>
  <si>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</si>
  <si>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</si>
  <si>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</si>
  <si>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</si>
  <si>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</si>
  <si>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</si>
  <si>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</si>
  <si>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</si>
  <si>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</si>
  <si>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</si>
  <si>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</si>
  <si>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</si>
  <si>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</si>
  <si>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</si>
  <si>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</si>
  <si>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</si>
  <si>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</si>
  <si>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FUEL PROPERTIES</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</si>
  <si>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</si>
  <si>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</si>
  <si>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</si>
  <si>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</si>
  <si>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</si>
  <si>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</si>
  <si>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</si>
  <si>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</si>
  <si>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</si>
  <si>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</si>
  <si>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</si>
  <si>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</si>
  <si>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</si>
  <si>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</si>
  <si>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</si>
  <si>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</si>
  <si>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</si>
  <si>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</si>
  <si>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</si>
  <si>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</si>
  <si>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</si>
  <si>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</si>
  <si>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</si>
  <si>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</si>
  <si>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</si>
  <si>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</si>
  <si>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</si>
  <si>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</si>
  <si>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</si>
  <si>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</si>
  <si>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</si>
  <si>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</si>
  <si>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</si>
  <si>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</si>
  <si>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</si>
  <si>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</si>
  <si>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</si>
  <si>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</si>
  <si>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</si>
  <si>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</si>
  <si>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</si>
  <si>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</si>
  <si>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</si>
  <si>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</si>
  <si>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</si>
  <si>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</si>
  <si>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</si>
  <si>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Source: DEFRA 2022</t>
  </si>
  <si>
    <t>Autobuss - Diesel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</si>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</sst>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_-* #,##0_-;\-* #,##0_-;_-* &quot;-&quot;??_-;_-@_-"/>
    <numFmt numFmtId="166" formatCode="#,##0.0"/>
    <numFmt numFmtId="167" formatCode="0.00000"/>
    <numFmt numFmtId="168" formatCode="0.0%"/>
    <numFmt numFmtId="169" formatCode="0.0000"/>
    <numFmt numFmtId="170" formatCode="0.000"/>
    <numFmt numFmtId="171" formatCode="0.000000"/>
    <numFmt numFmtId="172" formatCode="0.0000000"/>
    <numFmt numFmtId="173" formatCode="0.0"/>
    <numFmt numFmtId="174" formatCode="#,##0.00000"/>
    <numFmt numFmtId="175" formatCode="#,##0.0000"/>
    <numFmt numFmtId="176" formatCode="#,##0.000000000"/>
    <numFmt numFmtId="177" formatCode="#,##0.0000000"/>
    <numFmt numFmtId="178" formatCode="0.00000000"/>
    <numFmt numFmtId="179" formatCode="#,##0_ ;\-#,##0\ "/>
  </numFmts>
  <fonts count="126" x14ac:knownFonts="1">
    <font>
      <sz val="11"/>
      <color theme="1"/>
      <name val="Calibri"/>
      <family val="2"/>
      <charset val="238"/>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b/>
      <sz val="10"/>
      <color theme="4"/>
      <name val="Calibri"/>
      <family val="2"/>
      <scheme val="minor"/>
    </font>
    <font>
      <b/>
      <sz val="10"/>
      <color theme="1"/>
      <name val="Calibri"/>
      <family val="2"/>
      <scheme val="minor"/>
    </font>
    <font>
      <i/>
      <sz val="9"/>
      <color theme="4"/>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b/>
      <vertAlign val="subscript"/>
      <sz val="11"/>
      <color theme="0" tint="-0.499984740745262"/>
      <name val="Calibri"/>
      <family val="2"/>
      <scheme val="minor"/>
    </font>
    <font>
      <i/>
      <sz val="9"/>
      <color theme="2" tint="-0.499984740745262"/>
      <name val="Calibri"/>
      <family val="2"/>
      <scheme val="minor"/>
    </font>
    <font>
      <i/>
      <sz val="11"/>
      <color theme="1"/>
      <name val="Calibri"/>
      <family val="2"/>
      <charset val="238"/>
      <scheme val="minor"/>
    </font>
    <font>
      <i/>
      <sz val="11"/>
      <color theme="2" tint="-0.499984740745262"/>
      <name val="Calibri"/>
      <family val="2"/>
      <charset val="238"/>
      <scheme val="minor"/>
    </font>
    <font>
      <b/>
      <i/>
      <sz val="11"/>
      <color theme="2" tint="-0.499984740745262"/>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b/>
      <sz val="11"/>
      <color theme="4"/>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sz val="11"/>
      <color rgb="FF0070C0"/>
      <name val="Calibri"/>
      <family val="2"/>
      <charset val="238"/>
      <scheme val="minor"/>
    </font>
    <font>
      <sz val="11"/>
      <color theme="2" tint="-0.499984740745262"/>
      <name val="Calibri"/>
      <family val="2"/>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b/>
      <sz val="11"/>
      <color theme="9" tint="-0.499984740745262"/>
      <name val="Calibri"/>
      <family val="2"/>
      <charset val="238"/>
      <scheme val="minor"/>
    </font>
    <font>
      <i/>
      <sz val="10"/>
      <color rgb="FFC00000"/>
      <name val="Calibri"/>
      <family val="2"/>
      <charset val="238"/>
      <scheme val="minor"/>
    </font>
    <font>
      <sz val="9"/>
      <color rgb="FF000000"/>
      <name val="Times New Roman"/>
      <family val="1"/>
    </font>
    <font>
      <b/>
      <i/>
      <sz val="11"/>
      <color theme="1"/>
      <name val="Calibri"/>
      <family val="2"/>
      <charset val="238"/>
      <scheme val="minor"/>
    </font>
    <font>
      <i/>
      <sz val="10"/>
      <name val="Calibri"/>
      <family val="2"/>
      <charset val="238"/>
      <scheme val="minor"/>
    </font>
    <font>
      <sz val="11"/>
      <color rgb="FF000000"/>
      <name val="Calibri"/>
      <family val="2"/>
      <charset val="238"/>
      <scheme val="minor"/>
    </font>
    <font>
      <b/>
      <sz val="11"/>
      <color rgb="FF4472C4"/>
      <name val="Calibri"/>
      <family val="2"/>
      <scheme val="minor"/>
    </font>
    <font>
      <b/>
      <sz val="11"/>
      <color rgb="FF000000"/>
      <name val="Calibri"/>
      <family val="2"/>
      <scheme val="minor"/>
    </font>
    <font>
      <b/>
      <sz val="11"/>
      <color rgb="FF0070C0"/>
      <name val="Calibri"/>
      <family val="2"/>
      <scheme val="minor"/>
    </font>
    <font>
      <b/>
      <sz val="10"/>
      <color rgb="FF757171"/>
      <name val="Calibri"/>
      <family val="2"/>
      <scheme val="minor"/>
    </font>
    <font>
      <sz val="9"/>
      <color theme="1"/>
      <name val="Calibri"/>
      <family val="2"/>
      <charset val="238"/>
      <scheme val="minor"/>
    </font>
    <font>
      <sz val="10"/>
      <color rgb="FF0070C0"/>
      <name val="Calibri"/>
      <family val="2"/>
      <scheme val="minor"/>
    </font>
    <font>
      <b/>
      <sz val="10"/>
      <color theme="0" tint="-0.499984740745262"/>
      <name val="Calibri"/>
      <family val="2"/>
      <scheme val="minor"/>
    </font>
    <font>
      <i/>
      <vertAlign val="subscript"/>
      <sz val="10"/>
      <color theme="1"/>
      <name val="Calibri"/>
      <family val="2"/>
      <scheme val="minor"/>
    </font>
    <font>
      <vertAlign val="subscript"/>
      <sz val="10"/>
      <color theme="1"/>
      <name val="Calibri"/>
      <family val="2"/>
      <scheme val="minor"/>
    </font>
    <font>
      <i/>
      <sz val="10"/>
      <color theme="1" tint="0.34998626667073579"/>
      <name val="Calibri"/>
      <family val="2"/>
      <scheme val="minor"/>
    </font>
    <font>
      <i/>
      <sz val="10"/>
      <color theme="2" tint="-0.499984740745262"/>
      <name val="Calibri"/>
      <family val="2"/>
      <scheme val="minor"/>
    </font>
    <font>
      <b/>
      <sz val="10"/>
      <color theme="2" tint="-0.499984740745262"/>
      <name val="Calibri"/>
      <family val="2"/>
      <scheme val="minor"/>
    </font>
    <font>
      <vertAlign val="subscript"/>
      <sz val="11"/>
      <color theme="1"/>
      <name val="Calibri"/>
      <family val="2"/>
      <charset val="238"/>
      <scheme val="minor"/>
    </font>
    <font>
      <b/>
      <sz val="9"/>
      <color theme="4"/>
      <name val="Calibri"/>
      <family val="2"/>
      <scheme val="minor"/>
    </font>
    <font>
      <b/>
      <vertAlign val="subscript"/>
      <sz val="10"/>
      <color theme="1"/>
      <name val="Calibri"/>
      <family val="2"/>
      <scheme val="minor"/>
    </font>
    <font>
      <i/>
      <vertAlign val="subscript"/>
      <sz val="10"/>
      <color theme="2" tint="-0.499984740745262"/>
      <name val="Calibri"/>
      <family val="2"/>
      <scheme val="minor"/>
    </font>
    <font>
      <b/>
      <sz val="11"/>
      <color rgb="FF808080"/>
      <name val="Calibri"/>
      <family val="2"/>
      <charset val="238"/>
      <scheme val="minor"/>
    </font>
    <font>
      <b/>
      <vertAlign val="subscript"/>
      <sz val="11"/>
      <color rgb="FF808080"/>
      <name val="Calibri"/>
      <family val="2"/>
      <charset val="238"/>
      <scheme val="minor"/>
    </font>
    <font>
      <i/>
      <vertAlign val="subscript"/>
      <sz val="9"/>
      <color theme="2" tint="-0.499984740745262"/>
      <name val="Calibri"/>
      <family val="2"/>
      <scheme val="minor"/>
    </font>
    <font>
      <b/>
      <vertAlign val="subscript"/>
      <sz val="10"/>
      <color theme="4"/>
      <name val="Calibri"/>
      <family val="2"/>
      <scheme val="minor"/>
    </font>
    <font>
      <b/>
      <vertAlign val="subscript"/>
      <sz val="11"/>
      <color theme="4"/>
      <name val="Calibri"/>
      <family val="2"/>
      <scheme val="minor"/>
    </font>
    <font>
      <i/>
      <sz val="9"/>
      <color theme="2" tint="-0.749992370372631"/>
      <name val="Calibri"/>
      <family val="2"/>
      <charset val="238"/>
      <scheme val="minor"/>
    </font>
    <font>
      <u/>
      <sz val="9"/>
      <color theme="10"/>
      <name val="Calibri"/>
      <family val="2"/>
      <charset val="238"/>
      <scheme val="minor"/>
    </font>
    <font>
      <b/>
      <i/>
      <sz val="9"/>
      <color theme="4"/>
      <name val="Calibri"/>
      <family val="2"/>
      <scheme val="minor"/>
    </font>
    <font>
      <i/>
      <sz val="9"/>
      <color theme="2" tint="-0.749992370372631"/>
      <name val="Calibri"/>
      <family val="2"/>
      <scheme val="minor"/>
    </font>
    <font>
      <b/>
      <i/>
      <sz val="9"/>
      <color rgb="FFC00000"/>
      <name val="Calibri"/>
      <family val="2"/>
      <scheme val="minor"/>
    </font>
    <font>
      <b/>
      <i/>
      <sz val="10"/>
      <color rgb="FFC00000"/>
      <name val="Calibri"/>
      <family val="2"/>
      <scheme val="minor"/>
    </font>
    <font>
      <i/>
      <sz val="9"/>
      <color rgb="FFC00000"/>
      <name val="Calibri"/>
      <family val="2"/>
      <scheme val="minor"/>
    </font>
    <font>
      <sz val="11"/>
      <color theme="9" tint="-0.499984740745262"/>
      <name val="Calibri"/>
      <family val="2"/>
      <charset val="238"/>
      <scheme val="minor"/>
    </font>
    <font>
      <vertAlign val="subscript"/>
      <sz val="11"/>
      <color theme="9" tint="-0.499984740745262"/>
      <name val="Calibri"/>
      <family val="2"/>
      <charset val="238"/>
      <scheme val="minor"/>
    </font>
    <font>
      <b/>
      <u/>
      <sz val="11"/>
      <color theme="9" tint="-0.499984740745262"/>
      <name val="Calibri"/>
      <family val="2"/>
      <charset val="238"/>
      <scheme val="minor"/>
    </font>
    <font>
      <b/>
      <vertAlign val="subscript"/>
      <sz val="11"/>
      <color theme="9" tint="-0.499984740745262"/>
      <name val="Calibri"/>
      <family val="2"/>
      <charset val="238"/>
      <scheme val="minor"/>
    </font>
    <font>
      <b/>
      <sz val="11"/>
      <color theme="2" tint="-0.499984740745262"/>
      <name val="Calibri"/>
      <family val="2"/>
      <charset val="238"/>
      <scheme val="minor"/>
    </font>
    <font>
      <sz val="11"/>
      <color theme="2" tint="-0.499984740745262"/>
      <name val="Calibri"/>
      <family val="2"/>
      <charset val="238"/>
      <scheme val="minor"/>
    </font>
    <font>
      <b/>
      <vertAlign val="subscript"/>
      <sz val="11"/>
      <color theme="2" tint="-0.499984740745262"/>
      <name val="Calibri"/>
      <family val="2"/>
      <charset val="238"/>
      <scheme val="minor"/>
    </font>
  </fonts>
  <fills count="6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fgColor rgb="FFC00000"/>
        <bgColor theme="2" tint="-9.9948118533890809E-2"/>
      </patternFill>
    </fill>
    <fill>
      <patternFill patternType="gray125">
        <bgColor theme="4" tint="0.79998168889431442"/>
      </patternFill>
    </fill>
    <fill>
      <patternFill patternType="solid">
        <fgColor theme="9" tint="0.39997558519241921"/>
        <bgColor indexed="64"/>
      </patternFill>
    </fill>
    <fill>
      <patternFill patternType="solid">
        <fgColor theme="0"/>
        <bgColor theme="2" tint="-0.499984740745262"/>
      </patternFill>
    </fill>
    <fill>
      <patternFill patternType="solid">
        <fgColor rgb="FFF2F2F2"/>
        <bgColor rgb="FF000000"/>
      </patternFill>
    </fill>
    <fill>
      <patternFill patternType="solid">
        <fgColor rgb="FFFFFFFF"/>
        <bgColor rgb="FF000000"/>
      </patternFill>
    </fill>
    <fill>
      <patternFill patternType="gray0625">
        <fgColor rgb="FF000000"/>
        <bgColor rgb="FFF2F2F2"/>
      </patternFill>
    </fill>
    <fill>
      <patternFill patternType="solid">
        <fgColor theme="9" tint="0.59999389629810485"/>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left>
      <right/>
      <top style="thin">
        <color theme="2" tint="-9.9948118533890809E-2"/>
      </top>
      <bottom style="thin">
        <color theme="2" tint="-9.9917600024414813E-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bottom style="thin">
        <color theme="2" tint="-9.9948118533890809E-2"/>
      </bottom>
      <diagonal/>
    </border>
    <border>
      <left/>
      <right style="thin">
        <color theme="0"/>
      </right>
      <top/>
      <bottom style="thin">
        <color theme="2" tint="-9.9948118533890809E-2"/>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
      <left style="medium">
        <color theme="7" tint="-0.24994659260841701"/>
      </left>
      <right/>
      <top style="thin">
        <color auto="1"/>
      </top>
      <bottom style="medium">
        <color theme="7" tint="-0.24994659260841701"/>
      </bottom>
      <diagonal/>
    </border>
    <border>
      <left/>
      <right style="medium">
        <color theme="7" tint="-0.24994659260841701"/>
      </right>
      <top style="thin">
        <color auto="1"/>
      </top>
      <bottom style="medium">
        <color theme="7" tint="-0.24994659260841701"/>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style="thin">
        <color auto="1"/>
      </top>
      <bottom/>
      <diagonal/>
    </border>
    <border>
      <left style="medium">
        <color theme="7" tint="-0.24994659260841701"/>
      </left>
      <right style="medium">
        <color theme="7" tint="-0.24994659260841701"/>
      </right>
      <top style="thin">
        <color auto="1"/>
      </top>
      <bottom style="medium">
        <color theme="7" tint="-0.24994659260841701"/>
      </bottom>
      <diagonal/>
    </border>
    <border diagonalUp="1">
      <left style="thin">
        <color indexed="64"/>
      </left>
      <right style="thin">
        <color indexed="64"/>
      </right>
      <top style="thin">
        <color indexed="64"/>
      </top>
      <bottom style="thick">
        <color indexed="64"/>
      </bottom>
      <diagonal style="thin">
        <color rgb="FFC00000"/>
      </diagonal>
    </border>
    <border diagonalUp="1">
      <left style="thin">
        <color indexed="64"/>
      </left>
      <right style="thin">
        <color indexed="64"/>
      </right>
      <top style="thin">
        <color indexed="64"/>
      </top>
      <bottom style="thin">
        <color indexed="64"/>
      </bottom>
      <diagonal style="thin">
        <color rgb="FFC00000"/>
      </diagonal>
    </border>
    <border>
      <left style="thin">
        <color theme="2" tint="-9.9917600024414813E-2"/>
      </left>
      <right/>
      <top style="thin">
        <color theme="2" tint="-9.9917600024414813E-2"/>
      </top>
      <bottom/>
      <diagonal/>
    </border>
    <border>
      <left style="thin">
        <color theme="2" tint="-9.9917600024414813E-2"/>
      </left>
      <right/>
      <top/>
      <bottom/>
      <diagonal/>
    </border>
    <border>
      <left style="thin">
        <color theme="2" tint="-9.9917600024414813E-2"/>
      </left>
      <right/>
      <top/>
      <bottom style="thin">
        <color theme="2" tint="-9.9917600024414813E-2"/>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right/>
      <top style="thin">
        <color rgb="FFD9D9D9"/>
      </top>
      <bottom style="thin">
        <color rgb="FFD9D9D9"/>
      </bottom>
      <diagonal/>
    </border>
    <border>
      <left style="thin">
        <color rgb="FFFFFFFF"/>
      </left>
      <right/>
      <top style="thin">
        <color rgb="FFD0CECE"/>
      </top>
      <bottom style="thin">
        <color rgb="FFD0CECE"/>
      </bottom>
      <diagonal/>
    </border>
    <border>
      <left/>
      <right/>
      <top style="thin">
        <color rgb="FFD0CECE"/>
      </top>
      <bottom style="thin">
        <color rgb="FFD0CECE"/>
      </bottom>
      <diagonal/>
    </border>
    <border>
      <left/>
      <right/>
      <top/>
      <bottom style="thin">
        <color rgb="FFD0CECE"/>
      </bottom>
      <diagonal/>
    </border>
    <border>
      <left/>
      <right/>
      <top style="thin">
        <color rgb="FFD0CECE"/>
      </top>
      <bottom/>
      <diagonal/>
    </border>
    <border>
      <left style="thin">
        <color rgb="FFFFFFFF"/>
      </left>
      <right/>
      <top style="thin">
        <color rgb="FFFFFFFF"/>
      </top>
      <bottom/>
      <diagonal/>
    </border>
    <border>
      <left/>
      <right/>
      <top style="thin">
        <color rgb="FFFFFFFF"/>
      </top>
      <bottom/>
      <diagonal/>
    </border>
    <border>
      <left style="thin">
        <color rgb="FFFFFFFF"/>
      </left>
      <right/>
      <top style="thin">
        <color theme="2" tint="-9.9948118533890809E-2"/>
      </top>
      <bottom style="thin">
        <color rgb="FFD0CECE"/>
      </bottom>
      <diagonal/>
    </border>
    <border>
      <left/>
      <right/>
      <top style="thin">
        <color theme="2" tint="-9.9948118533890809E-2"/>
      </top>
      <bottom style="thin">
        <color rgb="FFD0CECE"/>
      </bottom>
      <diagonal/>
    </border>
    <border>
      <left/>
      <right/>
      <top style="dashed">
        <color theme="2" tint="-9.9948118533890809E-2"/>
      </top>
      <bottom style="thin">
        <color theme="2" tint="-9.9917600024414813E-2"/>
      </bottom>
      <diagonal/>
    </border>
    <border>
      <left style="medium">
        <color theme="0"/>
      </left>
      <right/>
      <top style="thin">
        <color theme="2" tint="-9.9948118533890809E-2"/>
      </top>
      <bottom style="thin">
        <color theme="2" tint="-9.9948118533890809E-2"/>
      </bottom>
      <diagonal/>
    </border>
    <border>
      <left style="thin">
        <color theme="2" tint="-9.9917600024414813E-2"/>
      </left>
      <right/>
      <top style="thin">
        <color theme="2" tint="-9.9948118533890809E-2"/>
      </top>
      <bottom style="thin">
        <color theme="2" tint="-9.9948118533890809E-2"/>
      </bottom>
      <diagonal/>
    </border>
    <border>
      <left/>
      <right style="medium">
        <color theme="0"/>
      </right>
      <top style="thin">
        <color theme="2" tint="-9.9948118533890809E-2"/>
      </top>
      <bottom style="thin">
        <color theme="2" tint="-9.9948118533890809E-2"/>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43" fontId="4" fillId="0" borderId="0" applyFont="0" applyFill="0" applyBorder="0" applyAlignment="0" applyProtection="0"/>
    <xf numFmtId="0" fontId="9" fillId="0" borderId="0" applyNumberFormat="0" applyFill="0" applyBorder="0" applyAlignment="0" applyProtection="0"/>
    <xf numFmtId="9" fontId="4" fillId="0" borderId="0" applyFont="0" applyFill="0" applyBorder="0" applyAlignment="0" applyProtection="0"/>
    <xf numFmtId="0" fontId="30" fillId="0" borderId="0"/>
    <xf numFmtId="0" fontId="31" fillId="0" borderId="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6" fillId="13" borderId="0" applyNumberFormat="0" applyBorder="0" applyAlignment="0" applyProtection="0"/>
    <xf numFmtId="0" fontId="32" fillId="41" borderId="23" applyNumberFormat="0" applyAlignment="0" applyProtection="0"/>
    <xf numFmtId="0" fontId="37" fillId="42" borderId="24" applyNumberFormat="0" applyProtection="0">
      <alignment vertical="center"/>
    </xf>
    <xf numFmtId="0" fontId="38" fillId="15" borderId="21" applyNumberFormat="0" applyAlignment="0" applyProtection="0"/>
    <xf numFmtId="43" fontId="31" fillId="0" borderId="0" applyFont="0" applyFill="0" applyBorder="0" applyAlignment="0" applyProtection="0"/>
    <xf numFmtId="43" fontId="3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2" borderId="0" applyNumberFormat="0" applyBorder="0" applyAlignment="0" applyProtection="0"/>
    <xf numFmtId="0" fontId="33" fillId="0" borderId="0" applyNumberFormat="0" applyFill="0" applyBorder="0" applyAlignment="0" applyProtection="0">
      <alignment vertical="top"/>
      <protection locked="0"/>
    </xf>
    <xf numFmtId="0" fontId="32" fillId="43" borderId="20" applyNumberFormat="0" applyBorder="0" applyAlignment="0" applyProtection="0"/>
    <xf numFmtId="0" fontId="32" fillId="44" borderId="0">
      <alignment vertical="center"/>
    </xf>
    <xf numFmtId="0" fontId="32" fillId="45" borderId="25" applyNumberFormat="0" applyAlignment="0" applyProtection="0"/>
    <xf numFmtId="0" fontId="42" fillId="14" borderId="0" applyNumberFormat="0" applyBorder="0" applyAlignment="0" applyProtection="0"/>
    <xf numFmtId="0" fontId="43" fillId="0" borderId="0"/>
    <xf numFmtId="0" fontId="31" fillId="16" borderId="22" applyNumberFormat="0" applyFont="0" applyAlignment="0" applyProtection="0"/>
    <xf numFmtId="0" fontId="44" fillId="46" borderId="26" applyNumberFormat="0" applyAlignment="0" applyProtection="0"/>
    <xf numFmtId="9" fontId="43" fillId="0" borderId="0" applyFont="0" applyFill="0" applyBorder="0" applyAlignment="0" applyProtection="0"/>
    <xf numFmtId="0" fontId="32" fillId="47" borderId="27" applyNumberFormat="0" applyProtection="0">
      <alignment vertical="center"/>
    </xf>
    <xf numFmtId="0" fontId="45" fillId="0" borderId="0" applyNumberFormat="0" applyFill="0" applyBorder="0" applyAlignment="0" applyProtection="0"/>
    <xf numFmtId="0" fontId="44" fillId="48" borderId="0" applyNumberFormat="0" applyBorder="0" applyAlignment="0" applyProtection="0"/>
    <xf numFmtId="0" fontId="87" fillId="0" borderId="0"/>
  </cellStyleXfs>
  <cellXfs count="658">
    <xf numFmtId="0" fontId="0" fillId="0" borderId="0" xfId="0"/>
    <xf numFmtId="0" fontId="1" fillId="0" borderId="0" xfId="0" applyFont="1"/>
    <xf numFmtId="0" fontId="3" fillId="0" borderId="0" xfId="0" applyFont="1"/>
    <xf numFmtId="0" fontId="0" fillId="0" borderId="0" xfId="0" applyAlignment="1">
      <alignment horizontal="left" wrapText="1"/>
    </xf>
    <xf numFmtId="0" fontId="7" fillId="0" borderId="0" xfId="0" applyFont="1" applyAlignment="1">
      <alignment horizontal="center"/>
    </xf>
    <xf numFmtId="0" fontId="8" fillId="0" borderId="0" xfId="0" applyFont="1"/>
    <xf numFmtId="0" fontId="0" fillId="0" borderId="0" xfId="0" applyAlignment="1">
      <alignment horizontal="center"/>
    </xf>
    <xf numFmtId="0" fontId="0" fillId="0" borderId="1" xfId="0" applyBorder="1" applyAlignment="1">
      <alignment horizontal="center" vertical="center"/>
    </xf>
    <xf numFmtId="0" fontId="13" fillId="0" borderId="0" xfId="0" applyFont="1" applyAlignment="1">
      <alignment horizontal="left" vertical="top" wrapText="1"/>
    </xf>
    <xf numFmtId="0" fontId="3" fillId="0" borderId="0" xfId="0" applyFont="1" applyAlignment="1">
      <alignment vertical="center"/>
    </xf>
    <xf numFmtId="0" fontId="0" fillId="5" borderId="0" xfId="0" applyFill="1"/>
    <xf numFmtId="0" fontId="0" fillId="6" borderId="0" xfId="0" applyFill="1"/>
    <xf numFmtId="0" fontId="14" fillId="0" borderId="0" xfId="0" applyFont="1" applyAlignment="1">
      <alignment horizontal="right"/>
    </xf>
    <xf numFmtId="0" fontId="0" fillId="2" borderId="0" xfId="0" applyFill="1"/>
    <xf numFmtId="0" fontId="14" fillId="0" borderId="0" xfId="0" applyFont="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5" fillId="0" borderId="0" xfId="0" applyFont="1"/>
    <xf numFmtId="0" fontId="6" fillId="5" borderId="0" xfId="0" applyFont="1" applyFill="1" applyAlignment="1">
      <alignment horizontal="right"/>
    </xf>
    <xf numFmtId="43" fontId="0" fillId="5" borderId="0" xfId="0" applyNumberFormat="1" applyFill="1"/>
    <xf numFmtId="0" fontId="7" fillId="5" borderId="0" xfId="0" applyFont="1" applyFill="1" applyAlignment="1">
      <alignment horizontal="center"/>
    </xf>
    <xf numFmtId="0" fontId="14" fillId="0" borderId="0" xfId="0" applyFont="1" applyAlignment="1">
      <alignment horizontal="center"/>
    </xf>
    <xf numFmtId="0" fontId="16" fillId="0" borderId="0" xfId="0" applyFont="1"/>
    <xf numFmtId="0" fontId="19" fillId="6" borderId="0" xfId="0" applyFont="1" applyFill="1"/>
    <xf numFmtId="0" fontId="0" fillId="0" borderId="0" xfId="0" applyAlignment="1">
      <alignment horizontal="center" vertical="center"/>
    </xf>
    <xf numFmtId="0" fontId="13" fillId="0" borderId="0" xfId="0" applyFont="1"/>
    <xf numFmtId="0" fontId="20" fillId="0" borderId="0" xfId="2" applyFont="1" applyFill="1" applyBorder="1" applyAlignment="1">
      <alignment horizontal="center"/>
    </xf>
    <xf numFmtId="0" fontId="21" fillId="0" borderId="0" xfId="0" applyFont="1"/>
    <xf numFmtId="0" fontId="24" fillId="0" borderId="0" xfId="0" applyFont="1" applyAlignment="1">
      <alignment horizontal="left" wrapText="1"/>
    </xf>
    <xf numFmtId="0" fontId="24" fillId="0" borderId="0" xfId="0" applyFont="1" applyAlignment="1">
      <alignment wrapText="1"/>
    </xf>
    <xf numFmtId="0" fontId="27" fillId="0" borderId="0" xfId="0" applyFont="1" applyAlignment="1">
      <alignment horizontal="right" vertical="center"/>
    </xf>
    <xf numFmtId="0" fontId="28" fillId="0" borderId="0" xfId="0" applyFont="1"/>
    <xf numFmtId="0" fontId="0" fillId="0" borderId="0" xfId="0" applyProtection="1">
      <protection locked="0"/>
    </xf>
    <xf numFmtId="9" fontId="0" fillId="0" borderId="0" xfId="0" applyNumberFormat="1"/>
    <xf numFmtId="0" fontId="14" fillId="0" borderId="0" xfId="0" applyFont="1" applyAlignment="1" applyProtection="1">
      <alignment horizontal="center"/>
      <protection locked="0"/>
    </xf>
    <xf numFmtId="49" fontId="0" fillId="0" borderId="0" xfId="0" applyNumberFormat="1" applyProtection="1">
      <protection locked="0"/>
    </xf>
    <xf numFmtId="0" fontId="16"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4" fillId="0" borderId="0" xfId="0" applyFont="1" applyAlignment="1">
      <alignment horizontal="center" vertical="center"/>
    </xf>
    <xf numFmtId="0" fontId="9" fillId="0" borderId="0" xfId="2"/>
    <xf numFmtId="0" fontId="49" fillId="0" borderId="0" xfId="0" applyFont="1" applyProtection="1">
      <protection locked="0"/>
    </xf>
    <xf numFmtId="0" fontId="0" fillId="5" borderId="0" xfId="0" applyFill="1" applyAlignment="1">
      <alignment horizontal="center" vertical="center"/>
    </xf>
    <xf numFmtId="0" fontId="19" fillId="6"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0" fillId="0" borderId="0" xfId="0" applyAlignment="1">
      <alignment horizontal="center" vertical="center" wrapText="1"/>
    </xf>
    <xf numFmtId="0" fontId="8"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3" fillId="0" borderId="14" xfId="0" applyFont="1" applyBorder="1"/>
    <xf numFmtId="0" fontId="0" fillId="0" borderId="14" xfId="0" applyBorder="1"/>
    <xf numFmtId="0" fontId="0" fillId="0" borderId="14" xfId="0" applyBorder="1" applyAlignment="1">
      <alignment horizontal="center"/>
    </xf>
    <xf numFmtId="0" fontId="0" fillId="0" borderId="0" xfId="0" applyAlignment="1">
      <alignment horizontal="left"/>
    </xf>
    <xf numFmtId="0" fontId="55" fillId="2" borderId="0" xfId="0" applyFont="1" applyFill="1" applyAlignment="1">
      <alignment horizontal="center" vertical="center" wrapText="1"/>
    </xf>
    <xf numFmtId="0" fontId="55" fillId="2" borderId="0" xfId="0" applyFont="1" applyFill="1" applyAlignment="1">
      <alignment vertical="center" wrapText="1"/>
    </xf>
    <xf numFmtId="0" fontId="0" fillId="0" borderId="0" xfId="0" applyAlignment="1">
      <alignment vertical="center"/>
    </xf>
    <xf numFmtId="0" fontId="50" fillId="0" borderId="0" xfId="0" applyFont="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43" fontId="0" fillId="0" borderId="0" xfId="1" applyFont="1" applyFill="1" applyBorder="1" applyProtection="1">
      <protection locked="0"/>
    </xf>
    <xf numFmtId="0" fontId="48"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57" fillId="49" borderId="0" xfId="0" applyFont="1" applyFill="1" applyAlignment="1">
      <alignment horizontal="center"/>
    </xf>
    <xf numFmtId="0" fontId="58" fillId="9" borderId="1" xfId="0" applyFont="1" applyFill="1" applyBorder="1" applyAlignment="1">
      <alignment horizontal="center"/>
    </xf>
    <xf numFmtId="0" fontId="47" fillId="49" borderId="0" xfId="0" applyFont="1" applyFill="1" applyAlignment="1">
      <alignment horizontal="center"/>
    </xf>
    <xf numFmtId="165" fontId="58" fillId="9" borderId="1" xfId="1" applyNumberFormat="1" applyFont="1" applyFill="1" applyBorder="1" applyAlignment="1">
      <alignment horizontal="center"/>
    </xf>
    <xf numFmtId="0" fontId="57" fillId="49" borderId="0" xfId="0" applyFont="1" applyFill="1" applyAlignment="1">
      <alignment horizontal="center" textRotation="90" wrapText="1"/>
    </xf>
    <xf numFmtId="169" fontId="58" fillId="50" borderId="1" xfId="0" applyNumberFormat="1" applyFont="1" applyFill="1" applyBorder="1" applyAlignment="1">
      <alignment horizontal="center" vertical="center"/>
    </xf>
    <xf numFmtId="4" fontId="58" fillId="9" borderId="1" xfId="0" applyNumberFormat="1" applyFont="1" applyFill="1" applyBorder="1" applyAlignment="1">
      <alignment horizontal="center"/>
    </xf>
    <xf numFmtId="174" fontId="58" fillId="9" borderId="1" xfId="0" applyNumberFormat="1" applyFont="1" applyFill="1" applyBorder="1" applyAlignment="1">
      <alignment horizontal="center"/>
    </xf>
    <xf numFmtId="3" fontId="58" fillId="9" borderId="1" xfId="0" applyNumberFormat="1" applyFont="1" applyFill="1" applyBorder="1" applyAlignment="1">
      <alignment horizontal="center"/>
    </xf>
    <xf numFmtId="175" fontId="58" fillId="9" borderId="1" xfId="0" applyNumberFormat="1" applyFont="1" applyFill="1" applyBorder="1" applyAlignment="1">
      <alignment horizontal="center"/>
    </xf>
    <xf numFmtId="164" fontId="58" fillId="9" borderId="1" xfId="0" applyNumberFormat="1" applyFont="1" applyFill="1" applyBorder="1" applyAlignment="1">
      <alignment horizontal="center"/>
    </xf>
    <xf numFmtId="176" fontId="58" fillId="9" borderId="1" xfId="0" applyNumberFormat="1" applyFont="1" applyFill="1" applyBorder="1" applyAlignment="1">
      <alignment horizontal="center"/>
    </xf>
    <xf numFmtId="177" fontId="58" fillId="9" borderId="1" xfId="0" applyNumberFormat="1" applyFont="1" applyFill="1" applyBorder="1" applyAlignment="1">
      <alignment horizontal="center"/>
    </xf>
    <xf numFmtId="170" fontId="58" fillId="9" borderId="1" xfId="0" applyNumberFormat="1" applyFont="1" applyFill="1" applyBorder="1" applyAlignment="1">
      <alignment horizontal="center"/>
    </xf>
    <xf numFmtId="167" fontId="58" fillId="9" borderId="1" xfId="0" applyNumberFormat="1" applyFont="1" applyFill="1" applyBorder="1" applyAlignment="1">
      <alignment horizontal="center"/>
    </xf>
    <xf numFmtId="172" fontId="58" fillId="9" borderId="1" xfId="0" applyNumberFormat="1" applyFont="1" applyFill="1" applyBorder="1" applyAlignment="1">
      <alignment horizontal="center"/>
    </xf>
    <xf numFmtId="1" fontId="58" fillId="9" borderId="1" xfId="0" applyNumberFormat="1" applyFont="1" applyFill="1" applyBorder="1" applyAlignment="1">
      <alignment horizontal="center"/>
    </xf>
    <xf numFmtId="2" fontId="58" fillId="9" borderId="1" xfId="0" applyNumberFormat="1" applyFont="1" applyFill="1" applyBorder="1" applyAlignment="1">
      <alignment horizontal="center"/>
    </xf>
    <xf numFmtId="169" fontId="58" fillId="9" borderId="1" xfId="0" applyNumberFormat="1" applyFont="1" applyFill="1" applyBorder="1" applyAlignment="1">
      <alignment horizontal="center"/>
    </xf>
    <xf numFmtId="171" fontId="58" fillId="9" borderId="1" xfId="0" applyNumberFormat="1" applyFont="1" applyFill="1" applyBorder="1" applyAlignment="1">
      <alignment horizontal="center"/>
    </xf>
    <xf numFmtId="178" fontId="58" fillId="9" borderId="1" xfId="0" applyNumberFormat="1" applyFont="1" applyFill="1" applyBorder="1" applyAlignment="1">
      <alignment horizontal="center"/>
    </xf>
    <xf numFmtId="173" fontId="58" fillId="9" borderId="1" xfId="0" applyNumberFormat="1" applyFont="1" applyFill="1" applyBorder="1" applyAlignment="1">
      <alignment horizontal="center"/>
    </xf>
    <xf numFmtId="0" fontId="62" fillId="9" borderId="1" xfId="0" applyFont="1" applyFill="1" applyBorder="1" applyAlignment="1">
      <alignment horizontal="center" vertical="center" wrapText="1"/>
    </xf>
    <xf numFmtId="0" fontId="62" fillId="9" borderId="1" xfId="0" applyFont="1" applyFill="1" applyBorder="1" applyAlignment="1">
      <alignment horizontal="center" vertical="center"/>
    </xf>
    <xf numFmtId="1" fontId="62" fillId="9" borderId="1" xfId="0" applyNumberFormat="1" applyFont="1" applyFill="1" applyBorder="1" applyAlignment="1">
      <alignment horizontal="center"/>
    </xf>
    <xf numFmtId="2" fontId="62" fillId="9" borderId="1" xfId="0" applyNumberFormat="1" applyFont="1" applyFill="1" applyBorder="1" applyAlignment="1">
      <alignment horizontal="center"/>
    </xf>
    <xf numFmtId="2" fontId="62" fillId="50" borderId="1" xfId="1" applyNumberFormat="1" applyFont="1" applyFill="1" applyBorder="1" applyAlignment="1">
      <alignment horizontal="center"/>
    </xf>
    <xf numFmtId="3" fontId="62" fillId="50" borderId="1" xfId="1" applyNumberFormat="1" applyFont="1" applyFill="1" applyBorder="1" applyAlignment="1">
      <alignment horizontal="center" vertical="center"/>
    </xf>
    <xf numFmtId="2" fontId="62" fillId="9" borderId="1" xfId="1" applyNumberFormat="1" applyFont="1" applyFill="1" applyBorder="1" applyAlignment="1">
      <alignment horizontal="center"/>
    </xf>
    <xf numFmtId="3" fontId="62" fillId="9" borderId="1" xfId="1" applyNumberFormat="1" applyFont="1" applyFill="1" applyBorder="1" applyAlignment="1">
      <alignment horizontal="center" vertical="center"/>
    </xf>
    <xf numFmtId="0" fontId="60" fillId="49" borderId="0" xfId="0" applyFont="1" applyFill="1" applyAlignment="1">
      <alignment horizontal="center" vertical="center" wrapText="1"/>
    </xf>
    <xf numFmtId="1" fontId="60" fillId="49" borderId="0" xfId="0" applyNumberFormat="1" applyFont="1" applyFill="1" applyAlignment="1">
      <alignment horizontal="center" vertical="center" wrapText="1"/>
    </xf>
    <xf numFmtId="2" fontId="57" fillId="49" borderId="0" xfId="0" applyNumberFormat="1" applyFont="1" applyFill="1" applyAlignment="1">
      <alignment horizontal="center"/>
    </xf>
    <xf numFmtId="173" fontId="57" fillId="49" borderId="0" xfId="0" applyNumberFormat="1" applyFont="1" applyFill="1" applyAlignment="1">
      <alignment horizontal="center"/>
    </xf>
    <xf numFmtId="1" fontId="57" fillId="49" borderId="0" xfId="0" applyNumberFormat="1" applyFont="1" applyFill="1" applyAlignment="1">
      <alignment horizontal="center"/>
    </xf>
    <xf numFmtId="2" fontId="62" fillId="9" borderId="1" xfId="0" applyNumberFormat="1" applyFont="1" applyFill="1" applyBorder="1" applyAlignment="1">
      <alignment horizontal="center" vertical="center"/>
    </xf>
    <xf numFmtId="4" fontId="62" fillId="9" borderId="1" xfId="1" applyNumberFormat="1" applyFont="1" applyFill="1" applyBorder="1" applyAlignment="1">
      <alignment horizontal="center"/>
    </xf>
    <xf numFmtId="0" fontId="32" fillId="49" borderId="0" xfId="0" applyFont="1" applyFill="1" applyAlignment="1">
      <alignment horizontal="center"/>
    </xf>
    <xf numFmtId="169" fontId="62" fillId="9" borderId="1" xfId="1" applyNumberFormat="1" applyFont="1" applyFill="1" applyBorder="1" applyAlignment="1">
      <alignment horizontal="center"/>
    </xf>
    <xf numFmtId="2" fontId="62" fillId="50" borderId="1" xfId="0" applyNumberFormat="1" applyFont="1" applyFill="1" applyBorder="1" applyAlignment="1">
      <alignment horizontal="center"/>
    </xf>
    <xf numFmtId="165" fontId="57" fillId="49" borderId="0" xfId="1" applyNumberFormat="1" applyFont="1" applyFill="1" applyAlignment="1">
      <alignment horizontal="center"/>
    </xf>
    <xf numFmtId="165" fontId="62" fillId="9" borderId="1" xfId="1" applyNumberFormat="1" applyFont="1" applyFill="1" applyBorder="1" applyAlignment="1">
      <alignment horizontal="center" vertical="center"/>
    </xf>
    <xf numFmtId="0" fontId="57" fillId="49" borderId="0" xfId="0" applyFont="1" applyFill="1" applyAlignment="1">
      <alignment horizontal="center" wrapText="1"/>
    </xf>
    <xf numFmtId="0" fontId="58" fillId="9" borderId="1" xfId="0" applyFont="1" applyFill="1" applyBorder="1" applyAlignment="1">
      <alignment horizontal="center" wrapText="1"/>
    </xf>
    <xf numFmtId="0" fontId="59" fillId="49" borderId="0" xfId="0" applyFont="1" applyFill="1" applyAlignment="1">
      <alignment horizontal="center" wrapText="1"/>
    </xf>
    <xf numFmtId="0" fontId="60" fillId="49" borderId="0" xfId="0" applyFont="1" applyFill="1" applyAlignment="1">
      <alignment horizontal="center" wrapText="1"/>
    </xf>
    <xf numFmtId="0" fontId="47" fillId="49" borderId="0" xfId="0" applyFont="1" applyFill="1" applyAlignment="1">
      <alignment horizontal="center" wrapText="1"/>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1" fontId="3" fillId="9" borderId="1" xfId="0" applyNumberFormat="1" applyFont="1" applyFill="1" applyBorder="1" applyAlignment="1">
      <alignment horizontal="center" vertical="center"/>
    </xf>
    <xf numFmtId="0" fontId="22"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8" fillId="0" borderId="0" xfId="0" applyFont="1" applyAlignment="1">
      <alignment horizontal="center"/>
    </xf>
    <xf numFmtId="0" fontId="0" fillId="9" borderId="0" xfId="0" applyFill="1" applyAlignment="1">
      <alignment horizontal="center"/>
    </xf>
    <xf numFmtId="0" fontId="22" fillId="0" borderId="1" xfId="0" applyFont="1" applyBorder="1" applyAlignment="1">
      <alignment horizontal="center" vertical="center"/>
    </xf>
    <xf numFmtId="0" fontId="22" fillId="0" borderId="0" xfId="0" applyFont="1"/>
    <xf numFmtId="175" fontId="0" fillId="0" borderId="1" xfId="0" applyNumberFormat="1" applyBorder="1" applyAlignment="1">
      <alignment horizontal="center" vertical="center"/>
    </xf>
    <xf numFmtId="0" fontId="0" fillId="2" borderId="49" xfId="0" applyFill="1" applyBorder="1" applyProtection="1">
      <protection locked="0"/>
    </xf>
    <xf numFmtId="0" fontId="24" fillId="0" borderId="0" xfId="0" applyFont="1" applyAlignment="1">
      <alignment horizontal="center" wrapText="1"/>
    </xf>
    <xf numFmtId="0" fontId="8" fillId="0" borderId="0" xfId="0" applyFont="1" applyAlignment="1" applyProtection="1">
      <alignment horizontal="center"/>
      <protection locked="0"/>
    </xf>
    <xf numFmtId="0" fontId="54" fillId="0" borderId="0" xfId="0" applyFont="1"/>
    <xf numFmtId="177" fontId="0" fillId="0" borderId="1" xfId="0" applyNumberFormat="1" applyBorder="1" applyAlignment="1">
      <alignment horizontal="center" vertical="center"/>
    </xf>
    <xf numFmtId="166" fontId="0" fillId="0" borderId="2" xfId="1" applyNumberFormat="1" applyFont="1" applyBorder="1" applyAlignment="1" applyProtection="1">
      <alignment horizontal="center" vertical="center"/>
      <protection locked="0"/>
    </xf>
    <xf numFmtId="166" fontId="0" fillId="7" borderId="2" xfId="0" applyNumberFormat="1" applyFill="1" applyBorder="1" applyAlignment="1" applyProtection="1">
      <alignment horizontal="center" vertical="center"/>
      <protection locked="0"/>
    </xf>
    <xf numFmtId="166" fontId="0" fillId="4" borderId="1" xfId="1" applyNumberFormat="1" applyFon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4"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1" fillId="2" borderId="0" xfId="0" applyFont="1" applyFill="1" applyAlignment="1">
      <alignment horizontal="left" vertical="center" indent="1"/>
    </xf>
    <xf numFmtId="0" fontId="46" fillId="2" borderId="56" xfId="0" applyFont="1" applyFill="1" applyBorder="1" applyAlignment="1">
      <alignment horizontal="center" vertical="center"/>
    </xf>
    <xf numFmtId="0" fontId="46" fillId="2" borderId="55" xfId="0" applyFont="1" applyFill="1" applyBorder="1" applyAlignment="1">
      <alignment horizontal="center" vertical="center"/>
    </xf>
    <xf numFmtId="0" fontId="0" fillId="9" borderId="49" xfId="0" applyFill="1" applyBorder="1" applyAlignment="1">
      <alignment horizontal="center"/>
    </xf>
    <xf numFmtId="0" fontId="54" fillId="9" borderId="49" xfId="0" applyFont="1" applyFill="1" applyBorder="1" applyAlignment="1" applyProtection="1">
      <alignment horizontal="center"/>
      <protection locked="0"/>
    </xf>
    <xf numFmtId="0" fontId="0" fillId="7" borderId="1" xfId="0" applyFill="1" applyBorder="1" applyAlignment="1" applyProtection="1">
      <alignment horizontal="center"/>
      <protection locked="0"/>
    </xf>
    <xf numFmtId="166" fontId="0" fillId="7" borderId="1" xfId="0" applyNumberFormat="1" applyFill="1" applyBorder="1" applyAlignment="1" applyProtection="1">
      <alignment horizontal="center" vertical="center"/>
      <protection locked="0"/>
    </xf>
    <xf numFmtId="0" fontId="14" fillId="0" borderId="67" xfId="0" applyFont="1" applyBorder="1" applyAlignment="1">
      <alignment horizontal="center"/>
    </xf>
    <xf numFmtId="0" fontId="0" fillId="7" borderId="67" xfId="0" applyFill="1" applyBorder="1" applyAlignment="1" applyProtection="1">
      <alignment horizontal="center"/>
      <protection locked="0"/>
    </xf>
    <xf numFmtId="0" fontId="0" fillId="7" borderId="67" xfId="0" applyFill="1" applyBorder="1" applyProtection="1">
      <protection locked="0"/>
    </xf>
    <xf numFmtId="166" fontId="0" fillId="7" borderId="67" xfId="0" applyNumberFormat="1" applyFill="1" applyBorder="1" applyAlignment="1" applyProtection="1">
      <alignment horizontal="center"/>
      <protection locked="0"/>
    </xf>
    <xf numFmtId="0" fontId="0" fillId="0" borderId="67" xfId="0" applyBorder="1" applyAlignment="1">
      <alignment horizontal="center" vertical="center"/>
    </xf>
    <xf numFmtId="0" fontId="14" fillId="0" borderId="68" xfId="0" applyFont="1" applyBorder="1" applyAlignment="1">
      <alignment horizontal="center"/>
    </xf>
    <xf numFmtId="0" fontId="0" fillId="7" borderId="68" xfId="0" applyFill="1" applyBorder="1" applyAlignment="1" applyProtection="1">
      <alignment horizontal="center"/>
      <protection locked="0"/>
    </xf>
    <xf numFmtId="0" fontId="0" fillId="7" borderId="68" xfId="0" applyFill="1" applyBorder="1" applyProtection="1">
      <protection locked="0"/>
    </xf>
    <xf numFmtId="166" fontId="0" fillId="7" borderId="68" xfId="0" applyNumberFormat="1" applyFill="1" applyBorder="1" applyAlignment="1" applyProtection="1">
      <alignment horizontal="center"/>
      <protection locked="0"/>
    </xf>
    <xf numFmtId="0" fontId="0" fillId="0" borderId="68" xfId="0" applyBorder="1" applyAlignment="1">
      <alignment horizontal="center" vertical="center"/>
    </xf>
    <xf numFmtId="0" fontId="14" fillId="0" borderId="69" xfId="0" applyFont="1" applyBorder="1" applyAlignment="1">
      <alignment horizontal="center"/>
    </xf>
    <xf numFmtId="0" fontId="0" fillId="7" borderId="69" xfId="0" applyFill="1" applyBorder="1" applyAlignment="1" applyProtection="1">
      <alignment horizontal="center"/>
      <protection locked="0"/>
    </xf>
    <xf numFmtId="0" fontId="0" fillId="7" borderId="69" xfId="0" applyFill="1" applyBorder="1" applyProtection="1">
      <protection locked="0"/>
    </xf>
    <xf numFmtId="166" fontId="0" fillId="7" borderId="69" xfId="0" applyNumberFormat="1" applyFill="1" applyBorder="1" applyAlignment="1" applyProtection="1">
      <alignment horizontal="center"/>
      <protection locked="0"/>
    </xf>
    <xf numFmtId="0" fontId="0" fillId="0" borderId="69" xfId="0" applyBorder="1" applyAlignment="1">
      <alignment horizontal="center" vertical="center"/>
    </xf>
    <xf numFmtId="166" fontId="0" fillId="7" borderId="49" xfId="0" applyNumberFormat="1" applyFill="1" applyBorder="1" applyAlignment="1" applyProtection="1">
      <alignment horizontal="center"/>
      <protection locked="0"/>
    </xf>
    <xf numFmtId="0" fontId="0" fillId="7" borderId="52" xfId="0" applyFill="1" applyBorder="1" applyProtection="1">
      <protection locked="0"/>
    </xf>
    <xf numFmtId="0" fontId="0" fillId="7" borderId="53" xfId="0" applyFill="1" applyBorder="1" applyProtection="1">
      <protection locked="0"/>
    </xf>
    <xf numFmtId="0" fontId="0" fillId="7" borderId="54" xfId="0" applyFill="1" applyBorder="1" applyProtection="1">
      <protection locked="0"/>
    </xf>
    <xf numFmtId="166" fontId="46" fillId="7" borderId="68" xfId="1" applyNumberFormat="1" applyFont="1" applyFill="1" applyBorder="1" applyAlignment="1" applyProtection="1">
      <alignment horizontal="center" vertical="center"/>
      <protection locked="0"/>
    </xf>
    <xf numFmtId="166" fontId="68" fillId="9" borderId="68" xfId="1" applyNumberFormat="1" applyFont="1" applyFill="1" applyBorder="1" applyAlignment="1" applyProtection="1">
      <alignment horizontal="center" vertical="center"/>
      <protection locked="0"/>
    </xf>
    <xf numFmtId="166" fontId="46" fillId="7" borderId="70" xfId="1" applyNumberFormat="1" applyFont="1" applyFill="1" applyBorder="1" applyAlignment="1" applyProtection="1">
      <alignment horizontal="center" vertical="center"/>
      <protection locked="0"/>
    </xf>
    <xf numFmtId="166" fontId="0" fillId="7" borderId="67" xfId="0" applyNumberFormat="1" applyFill="1" applyBorder="1" applyAlignment="1" applyProtection="1">
      <alignment horizontal="center" vertical="center"/>
      <protection locked="0"/>
    </xf>
    <xf numFmtId="166" fontId="0" fillId="7" borderId="68" xfId="0" applyNumberFormat="1" applyFill="1" applyBorder="1" applyAlignment="1" applyProtection="1">
      <alignment horizontal="center" vertical="center"/>
      <protection locked="0"/>
    </xf>
    <xf numFmtId="166" fontId="0" fillId="7" borderId="69" xfId="0" applyNumberFormat="1" applyFill="1" applyBorder="1" applyAlignment="1" applyProtection="1">
      <alignment horizontal="center" vertical="center"/>
      <protection locked="0"/>
    </xf>
    <xf numFmtId="0" fontId="0" fillId="9" borderId="67" xfId="0" applyFill="1" applyBorder="1" applyAlignment="1" applyProtection="1">
      <alignment horizontal="left" vertical="center"/>
      <protection locked="0"/>
    </xf>
    <xf numFmtId="0" fontId="0" fillId="9" borderId="68" xfId="0" applyFill="1" applyBorder="1" applyAlignment="1" applyProtection="1">
      <alignment horizontal="left" vertical="center"/>
      <protection locked="0"/>
    </xf>
    <xf numFmtId="0" fontId="54" fillId="9" borderId="68" xfId="0" applyFont="1" applyFill="1" applyBorder="1" applyAlignment="1">
      <alignment horizontal="center"/>
    </xf>
    <xf numFmtId="0" fontId="54" fillId="9" borderId="68" xfId="0" applyFont="1" applyFill="1" applyBorder="1" applyAlignment="1" applyProtection="1">
      <alignment horizontal="center"/>
      <protection locked="0"/>
    </xf>
    <xf numFmtId="0" fontId="54" fillId="9" borderId="69" xfId="0" applyFont="1" applyFill="1" applyBorder="1" applyAlignment="1" applyProtection="1">
      <alignment horizontal="center"/>
      <protection locked="0"/>
    </xf>
    <xf numFmtId="0" fontId="54" fillId="9" borderId="72" xfId="0" applyFont="1" applyFill="1" applyBorder="1" applyAlignment="1" applyProtection="1">
      <alignment horizontal="center"/>
      <protection locked="0"/>
    </xf>
    <xf numFmtId="0" fontId="54" fillId="9" borderId="73" xfId="0" applyFont="1" applyFill="1" applyBorder="1" applyAlignment="1">
      <alignment horizontal="center"/>
    </xf>
    <xf numFmtId="0" fontId="54" fillId="9" borderId="74" xfId="0" applyFont="1" applyFill="1" applyBorder="1" applyAlignment="1" applyProtection="1">
      <alignment horizontal="center"/>
      <protection locked="0"/>
    </xf>
    <xf numFmtId="166" fontId="0" fillId="7" borderId="72" xfId="0" applyNumberFormat="1" applyFill="1" applyBorder="1" applyAlignment="1">
      <alignment horizontal="center" vertical="center"/>
    </xf>
    <xf numFmtId="166" fontId="0" fillId="7" borderId="73" xfId="0" applyNumberFormat="1" applyFill="1" applyBorder="1" applyAlignment="1">
      <alignment horizontal="center" vertical="center"/>
    </xf>
    <xf numFmtId="166" fontId="0" fillId="7" borderId="74" xfId="0" applyNumberFormat="1" applyFill="1" applyBorder="1" applyAlignment="1">
      <alignment horizontal="center" vertical="center"/>
    </xf>
    <xf numFmtId="166" fontId="0" fillId="7" borderId="68" xfId="0" applyNumberFormat="1" applyFill="1" applyBorder="1" applyAlignment="1">
      <alignment horizontal="center" vertical="center"/>
    </xf>
    <xf numFmtId="0" fontId="0" fillId="7" borderId="72" xfId="0" applyFill="1" applyBorder="1" applyAlignment="1" applyProtection="1">
      <alignment horizontal="center" vertical="center"/>
      <protection locked="0"/>
    </xf>
    <xf numFmtId="49" fontId="0" fillId="7" borderId="72" xfId="0" applyNumberFormat="1" applyFill="1" applyBorder="1" applyAlignment="1" applyProtection="1">
      <alignment horizontal="center"/>
      <protection locked="0"/>
    </xf>
    <xf numFmtId="166" fontId="0" fillId="7" borderId="72" xfId="1" applyNumberFormat="1" applyFont="1" applyFill="1" applyBorder="1" applyAlignment="1" applyProtection="1">
      <alignment horizontal="center" vertical="center"/>
      <protection locked="0"/>
    </xf>
    <xf numFmtId="0" fontId="0" fillId="7" borderId="72" xfId="0" applyFill="1" applyBorder="1" applyAlignment="1" applyProtection="1">
      <alignment horizontal="center"/>
      <protection locked="0"/>
    </xf>
    <xf numFmtId="0" fontId="0" fillId="7" borderId="73" xfId="0" applyFill="1" applyBorder="1" applyAlignment="1" applyProtection="1">
      <alignment horizontal="center" vertical="center"/>
      <protection locked="0"/>
    </xf>
    <xf numFmtId="49" fontId="0" fillId="7" borderId="73" xfId="0" applyNumberFormat="1" applyFill="1" applyBorder="1" applyAlignment="1" applyProtection="1">
      <alignment horizontal="center"/>
      <protection locked="0"/>
    </xf>
    <xf numFmtId="166" fontId="0" fillId="7" borderId="73" xfId="1" applyNumberFormat="1" applyFont="1" applyFill="1" applyBorder="1" applyAlignment="1" applyProtection="1">
      <alignment horizontal="center" vertical="center"/>
      <protection locked="0"/>
    </xf>
    <xf numFmtId="0" fontId="0" fillId="7" borderId="73" xfId="0" applyFill="1" applyBorder="1" applyAlignment="1" applyProtection="1">
      <alignment horizontal="center"/>
      <protection locked="0"/>
    </xf>
    <xf numFmtId="0" fontId="0" fillId="7" borderId="74" xfId="0" applyFill="1" applyBorder="1" applyAlignment="1" applyProtection="1">
      <alignment horizontal="center" vertical="center"/>
      <protection locked="0"/>
    </xf>
    <xf numFmtId="49" fontId="0" fillId="7" borderId="74" xfId="0" applyNumberFormat="1" applyFill="1" applyBorder="1" applyAlignment="1" applyProtection="1">
      <alignment horizontal="center"/>
      <protection locked="0"/>
    </xf>
    <xf numFmtId="166" fontId="0" fillId="7" borderId="74" xfId="1" applyNumberFormat="1" applyFont="1" applyFill="1" applyBorder="1" applyAlignment="1" applyProtection="1">
      <alignment horizontal="center" vertical="center"/>
      <protection locked="0"/>
    </xf>
    <xf numFmtId="0" fontId="0" fillId="7" borderId="74" xfId="0" applyFill="1" applyBorder="1" applyAlignment="1" applyProtection="1">
      <alignment horizontal="center"/>
      <protection locked="0"/>
    </xf>
    <xf numFmtId="0" fontId="0" fillId="7" borderId="67" xfId="0" applyFill="1" applyBorder="1" applyAlignment="1" applyProtection="1">
      <alignment horizontal="center" vertical="center"/>
      <protection locked="0"/>
    </xf>
    <xf numFmtId="49" fontId="0" fillId="7" borderId="67" xfId="0" applyNumberFormat="1" applyFill="1" applyBorder="1" applyAlignment="1" applyProtection="1">
      <alignment horizontal="center"/>
      <protection locked="0"/>
    </xf>
    <xf numFmtId="166" fontId="0" fillId="7" borderId="67" xfId="1" applyNumberFormat="1" applyFont="1" applyFill="1" applyBorder="1" applyAlignment="1" applyProtection="1">
      <alignment horizontal="center" vertical="center"/>
      <protection locked="0"/>
    </xf>
    <xf numFmtId="0" fontId="0" fillId="7" borderId="67" xfId="0" applyFill="1" applyBorder="1" applyAlignment="1">
      <alignment horizontal="center"/>
    </xf>
    <xf numFmtId="0" fontId="0" fillId="7" borderId="68" xfId="0" applyFill="1" applyBorder="1" applyAlignment="1" applyProtection="1">
      <alignment horizontal="center" vertical="center"/>
      <protection locked="0"/>
    </xf>
    <xf numFmtId="49" fontId="0" fillId="7" borderId="68" xfId="0" applyNumberFormat="1" applyFill="1" applyBorder="1" applyAlignment="1" applyProtection="1">
      <alignment horizontal="center"/>
      <protection locked="0"/>
    </xf>
    <xf numFmtId="166" fontId="0" fillId="7" borderId="68" xfId="1" applyNumberFormat="1" applyFont="1" applyFill="1" applyBorder="1" applyAlignment="1" applyProtection="1">
      <alignment horizontal="center" vertical="center"/>
      <protection locked="0"/>
    </xf>
    <xf numFmtId="0" fontId="0" fillId="7" borderId="68" xfId="0" applyFill="1" applyBorder="1" applyAlignment="1">
      <alignment horizontal="center"/>
    </xf>
    <xf numFmtId="166" fontId="0" fillId="0" borderId="0" xfId="0" applyNumberFormat="1"/>
    <xf numFmtId="166" fontId="0" fillId="0" borderId="0" xfId="3" applyNumberFormat="1" applyFont="1" applyAlignment="1">
      <alignment horizontal="center" vertical="center"/>
    </xf>
    <xf numFmtId="166" fontId="51" fillId="2" borderId="0" xfId="0" applyNumberFormat="1" applyFont="1" applyFill="1" applyAlignment="1">
      <alignment horizontal="center" vertical="center"/>
    </xf>
    <xf numFmtId="0" fontId="51" fillId="0" borderId="0" xfId="0" applyFont="1" applyAlignment="1">
      <alignment horizontal="center" vertical="center"/>
    </xf>
    <xf numFmtId="0" fontId="0" fillId="0" borderId="0" xfId="0" applyAlignment="1">
      <alignment wrapText="1"/>
    </xf>
    <xf numFmtId="0" fontId="74" fillId="9" borderId="0" xfId="0" applyFont="1" applyFill="1" applyAlignment="1">
      <alignment horizontal="center" vertical="center"/>
    </xf>
    <xf numFmtId="0" fontId="14" fillId="9" borderId="0" xfId="0" applyFont="1" applyFill="1" applyAlignment="1">
      <alignment horizontal="center" vertical="center"/>
    </xf>
    <xf numFmtId="168" fontId="16" fillId="9" borderId="50" xfId="3" applyNumberFormat="1" applyFont="1" applyFill="1" applyBorder="1" applyAlignment="1">
      <alignment horizontal="center" vertical="center"/>
    </xf>
    <xf numFmtId="10" fontId="16" fillId="9" borderId="0" xfId="3" applyNumberFormat="1" applyFont="1" applyFill="1" applyBorder="1" applyAlignment="1">
      <alignment horizontal="center" vertical="center"/>
    </xf>
    <xf numFmtId="168" fontId="16" fillId="9" borderId="0" xfId="3" applyNumberFormat="1" applyFont="1" applyFill="1" applyBorder="1" applyAlignment="1">
      <alignment horizontal="center" vertical="center"/>
    </xf>
    <xf numFmtId="166" fontId="3" fillId="9" borderId="0" xfId="1" applyNumberFormat="1" applyFont="1" applyFill="1" applyAlignment="1">
      <alignment vertical="center"/>
    </xf>
    <xf numFmtId="166" fontId="34" fillId="9" borderId="50" xfId="0" applyNumberFormat="1" applyFont="1" applyFill="1" applyBorder="1" applyAlignment="1">
      <alignment vertical="center"/>
    </xf>
    <xf numFmtId="9" fontId="49" fillId="9" borderId="50" xfId="0" applyNumberFormat="1" applyFont="1" applyFill="1" applyBorder="1" applyAlignment="1">
      <alignment horizontal="center" vertical="center"/>
    </xf>
    <xf numFmtId="166" fontId="34" fillId="9" borderId="0" xfId="0" applyNumberFormat="1" applyFont="1" applyFill="1" applyAlignment="1">
      <alignment vertical="center"/>
    </xf>
    <xf numFmtId="0" fontId="34" fillId="9" borderId="0" xfId="0" applyFont="1" applyFill="1" applyAlignment="1">
      <alignment vertical="center"/>
    </xf>
    <xf numFmtId="9" fontId="49" fillId="9" borderId="0" xfId="0" applyNumberFormat="1" applyFont="1" applyFill="1" applyAlignment="1">
      <alignment horizontal="center" vertical="center"/>
    </xf>
    <xf numFmtId="0" fontId="69" fillId="9" borderId="0" xfId="0" applyFont="1" applyFill="1" applyAlignment="1">
      <alignment horizontal="center" vertical="center"/>
    </xf>
    <xf numFmtId="0" fontId="55" fillId="2" borderId="51" xfId="0" applyFont="1" applyFill="1" applyBorder="1" applyAlignment="1">
      <alignment vertical="center"/>
    </xf>
    <xf numFmtId="166" fontId="55" fillId="2" borderId="51" xfId="0" applyNumberFormat="1" applyFont="1" applyFill="1" applyBorder="1" applyAlignment="1">
      <alignment vertical="center"/>
    </xf>
    <xf numFmtId="168" fontId="55" fillId="2" borderId="51" xfId="3" applyNumberFormat="1" applyFont="1" applyFill="1" applyBorder="1" applyAlignment="1">
      <alignment horizontal="center" vertical="center"/>
    </xf>
    <xf numFmtId="9" fontId="55" fillId="2" borderId="51" xfId="0" applyNumberFormat="1" applyFont="1" applyFill="1" applyBorder="1" applyAlignment="1">
      <alignment horizontal="center" vertical="center"/>
    </xf>
    <xf numFmtId="0" fontId="0" fillId="0" borderId="50" xfId="0" applyBorder="1" applyAlignment="1">
      <alignment vertical="center"/>
    </xf>
    <xf numFmtId="0" fontId="53" fillId="0" borderId="0" xfId="0" applyFont="1" applyAlignment="1">
      <alignment vertical="center"/>
    </xf>
    <xf numFmtId="0" fontId="78" fillId="49" borderId="0" xfId="0" applyFont="1" applyFill="1" applyAlignment="1">
      <alignment horizontal="center" vertical="center"/>
    </xf>
    <xf numFmtId="166" fontId="78" fillId="49" borderId="0" xfId="0" applyNumberFormat="1" applyFont="1" applyFill="1"/>
    <xf numFmtId="0" fontId="78" fillId="49" borderId="0" xfId="0" applyFont="1" applyFill="1"/>
    <xf numFmtId="0" fontId="78" fillId="0" borderId="0" xfId="0" applyFont="1"/>
    <xf numFmtId="0" fontId="76" fillId="0" borderId="40" xfId="0" applyFont="1" applyBorder="1" applyAlignment="1">
      <alignment horizontal="center" vertical="center"/>
    </xf>
    <xf numFmtId="0" fontId="76" fillId="0" borderId="57" xfId="0" applyFont="1" applyBorder="1" applyAlignment="1">
      <alignment horizontal="center" vertical="center"/>
    </xf>
    <xf numFmtId="175" fontId="76" fillId="0" borderId="28" xfId="0" applyNumberFormat="1" applyFont="1" applyBorder="1" applyAlignment="1">
      <alignment horizontal="center" vertical="center"/>
    </xf>
    <xf numFmtId="175" fontId="76" fillId="0" borderId="29" xfId="0" applyNumberFormat="1" applyFont="1" applyBorder="1" applyAlignment="1">
      <alignment horizontal="center" vertical="center"/>
    </xf>
    <xf numFmtId="175" fontId="76" fillId="0" borderId="36" xfId="0" applyNumberFormat="1" applyFont="1" applyBorder="1" applyAlignment="1">
      <alignment horizontal="center" vertical="center"/>
    </xf>
    <xf numFmtId="175" fontId="76" fillId="0" borderId="41" xfId="0" applyNumberFormat="1" applyFont="1" applyBorder="1" applyAlignment="1">
      <alignment horizontal="center" vertical="center"/>
    </xf>
    <xf numFmtId="175" fontId="76" fillId="0" borderId="40" xfId="0" applyNumberFormat="1" applyFont="1" applyBorder="1" applyAlignment="1">
      <alignment horizontal="center" vertical="center"/>
    </xf>
    <xf numFmtId="0" fontId="76" fillId="0" borderId="29" xfId="0" applyFont="1" applyBorder="1" applyAlignment="1">
      <alignment horizontal="center" vertical="center"/>
    </xf>
    <xf numFmtId="0" fontId="79" fillId="4" borderId="0" xfId="0" applyFont="1" applyFill="1" applyAlignment="1">
      <alignment horizontal="center" vertical="center"/>
    </xf>
    <xf numFmtId="166" fontId="79" fillId="4" borderId="1" xfId="0" applyNumberFormat="1" applyFont="1" applyFill="1" applyBorder="1" applyAlignment="1">
      <alignment horizontal="center" vertical="center"/>
    </xf>
    <xf numFmtId="2" fontId="79" fillId="4" borderId="1" xfId="0" applyNumberFormat="1" applyFont="1" applyFill="1" applyBorder="1" applyAlignment="1">
      <alignment horizontal="center" vertical="center"/>
    </xf>
    <xf numFmtId="0" fontId="76" fillId="8" borderId="6" xfId="0" applyFont="1" applyFill="1" applyBorder="1" applyAlignment="1">
      <alignment horizontal="center" vertical="center"/>
    </xf>
    <xf numFmtId="0" fontId="76" fillId="8" borderId="58" xfId="0" applyFont="1" applyFill="1" applyBorder="1" applyAlignment="1">
      <alignment horizontal="center" vertical="center"/>
    </xf>
    <xf numFmtId="175" fontId="76" fillId="8" borderId="46" xfId="0" applyNumberFormat="1" applyFont="1" applyFill="1" applyBorder="1" applyAlignment="1">
      <alignment horizontal="center" vertical="center"/>
    </xf>
    <xf numFmtId="175" fontId="76" fillId="8" borderId="45" xfId="0" applyNumberFormat="1" applyFont="1" applyFill="1" applyBorder="1" applyAlignment="1">
      <alignment horizontal="center" vertical="center"/>
    </xf>
    <xf numFmtId="0" fontId="77" fillId="8" borderId="1" xfId="0" applyFont="1" applyFill="1" applyBorder="1" applyAlignment="1">
      <alignment horizontal="right" vertical="center" indent="1"/>
    </xf>
    <xf numFmtId="166" fontId="76" fillId="8" borderId="1" xfId="0" applyNumberFormat="1" applyFont="1" applyFill="1" applyBorder="1" applyAlignment="1">
      <alignment horizontal="center" vertical="center"/>
    </xf>
    <xf numFmtId="9" fontId="76" fillId="8" borderId="1" xfId="3" applyFont="1" applyFill="1" applyBorder="1" applyAlignment="1">
      <alignment horizontal="center" vertical="center"/>
    </xf>
    <xf numFmtId="0" fontId="76" fillId="3" borderId="4" xfId="0" applyFont="1" applyFill="1" applyBorder="1" applyAlignment="1">
      <alignment horizontal="center" vertical="center"/>
    </xf>
    <xf numFmtId="0" fontId="76" fillId="3" borderId="37" xfId="0" applyFont="1" applyFill="1" applyBorder="1" applyAlignment="1">
      <alignment horizontal="center" vertical="center"/>
    </xf>
    <xf numFmtId="175" fontId="76" fillId="3" borderId="38" xfId="0" applyNumberFormat="1" applyFont="1" applyFill="1" applyBorder="1" applyAlignment="1">
      <alignment horizontal="center" vertical="center"/>
    </xf>
    <xf numFmtId="0" fontId="80" fillId="3" borderId="1" xfId="0" applyFont="1" applyFill="1" applyBorder="1" applyAlignment="1">
      <alignment horizontal="right" vertical="center" indent="1"/>
    </xf>
    <xf numFmtId="166" fontId="78" fillId="9" borderId="1" xfId="0" applyNumberFormat="1" applyFont="1" applyFill="1" applyBorder="1" applyAlignment="1">
      <alignment horizontal="center" vertical="center"/>
    </xf>
    <xf numFmtId="9" fontId="78" fillId="9" borderId="1" xfId="3" applyFont="1" applyFill="1" applyBorder="1" applyAlignment="1">
      <alignment horizontal="center" vertical="center"/>
    </xf>
    <xf numFmtId="0" fontId="78" fillId="0" borderId="4" xfId="0" applyFont="1" applyBorder="1" applyAlignment="1">
      <alignment horizontal="center" vertical="center"/>
    </xf>
    <xf numFmtId="0" fontId="78" fillId="0" borderId="37" xfId="0" applyFont="1" applyBorder="1" applyAlignment="1">
      <alignment horizontal="center" vertical="center"/>
    </xf>
    <xf numFmtId="175" fontId="78" fillId="9" borderId="16" xfId="0" applyNumberFormat="1" applyFont="1" applyFill="1" applyBorder="1" applyAlignment="1">
      <alignment horizontal="center" vertical="center"/>
    </xf>
    <xf numFmtId="175" fontId="78" fillId="9" borderId="1" xfId="0" applyNumberFormat="1" applyFont="1" applyFill="1" applyBorder="1" applyAlignment="1">
      <alignment horizontal="center" vertical="center"/>
    </xf>
    <xf numFmtId="175" fontId="78" fillId="51" borderId="1" xfId="0" applyNumberFormat="1" applyFont="1" applyFill="1" applyBorder="1" applyAlignment="1">
      <alignment horizontal="center" vertical="center"/>
    </xf>
    <xf numFmtId="175" fontId="78" fillId="51" borderId="17" xfId="0" applyNumberFormat="1" applyFont="1" applyFill="1" applyBorder="1" applyAlignment="1">
      <alignment horizontal="center" vertical="center"/>
    </xf>
    <xf numFmtId="175" fontId="78" fillId="9" borderId="38" xfId="0" applyNumberFormat="1" applyFont="1" applyFill="1" applyBorder="1" applyAlignment="1">
      <alignment horizontal="center" vertical="center"/>
    </xf>
    <xf numFmtId="175" fontId="78" fillId="9" borderId="3" xfId="0" applyNumberFormat="1" applyFont="1" applyFill="1" applyBorder="1" applyAlignment="1">
      <alignment horizontal="center" vertical="center"/>
    </xf>
    <xf numFmtId="175" fontId="78" fillId="9" borderId="1" xfId="0" applyNumberFormat="1" applyFont="1" applyFill="1" applyBorder="1" applyAlignment="1">
      <alignment horizontal="center" vertical="center" wrapText="1"/>
    </xf>
    <xf numFmtId="175" fontId="78" fillId="9" borderId="17" xfId="0" applyNumberFormat="1" applyFont="1" applyFill="1" applyBorder="1" applyAlignment="1">
      <alignment horizontal="center" vertical="center"/>
    </xf>
    <xf numFmtId="175" fontId="78" fillId="9" borderId="4" xfId="0" applyNumberFormat="1" applyFont="1" applyFill="1" applyBorder="1" applyAlignment="1">
      <alignment horizontal="center" vertical="center"/>
    </xf>
    <xf numFmtId="175" fontId="78" fillId="0" borderId="16" xfId="0" applyNumberFormat="1" applyFont="1" applyBorder="1" applyAlignment="1">
      <alignment horizontal="center" vertical="center"/>
    </xf>
    <xf numFmtId="175" fontId="78" fillId="0" borderId="1" xfId="0" applyNumberFormat="1" applyFont="1" applyBorder="1" applyAlignment="1">
      <alignment horizontal="center" vertical="center"/>
    </xf>
    <xf numFmtId="175" fontId="78" fillId="0" borderId="3" xfId="0" applyNumberFormat="1" applyFont="1" applyBorder="1" applyAlignment="1">
      <alignment horizontal="center" vertical="center"/>
    </xf>
    <xf numFmtId="175" fontId="78" fillId="51" borderId="2" xfId="0" applyNumberFormat="1" applyFont="1" applyFill="1" applyBorder="1" applyAlignment="1">
      <alignment horizontal="center" vertical="center"/>
    </xf>
    <xf numFmtId="175" fontId="78" fillId="3" borderId="38" xfId="0" applyNumberFormat="1" applyFont="1" applyFill="1" applyBorder="1" applyAlignment="1">
      <alignment horizontal="center" vertical="center"/>
    </xf>
    <xf numFmtId="175" fontId="81" fillId="11" borderId="60" xfId="0" applyNumberFormat="1" applyFont="1" applyFill="1" applyBorder="1" applyAlignment="1">
      <alignment horizontal="center" vertical="center"/>
    </xf>
    <xf numFmtId="175" fontId="81" fillId="11" borderId="61" xfId="0" applyNumberFormat="1" applyFont="1" applyFill="1" applyBorder="1" applyAlignment="1">
      <alignment horizontal="center" vertical="center"/>
    </xf>
    <xf numFmtId="175" fontId="78" fillId="54" borderId="62" xfId="0" applyNumberFormat="1" applyFont="1" applyFill="1" applyBorder="1" applyAlignment="1">
      <alignment horizontal="center" vertical="center"/>
    </xf>
    <xf numFmtId="175" fontId="82" fillId="11" borderId="63" xfId="0" applyNumberFormat="1" applyFont="1" applyFill="1" applyBorder="1" applyAlignment="1">
      <alignment horizontal="center" vertical="center"/>
    </xf>
    <xf numFmtId="175" fontId="78" fillId="51" borderId="3" xfId="0" applyNumberFormat="1" applyFont="1" applyFill="1" applyBorder="1" applyAlignment="1">
      <alignment horizontal="center" vertical="center"/>
    </xf>
    <xf numFmtId="175" fontId="78" fillId="51" borderId="1" xfId="0" applyNumberFormat="1" applyFont="1" applyFill="1" applyBorder="1" applyAlignment="1">
      <alignment vertical="center"/>
    </xf>
    <xf numFmtId="175" fontId="82" fillId="11" borderId="62" xfId="3" applyNumberFormat="1" applyFont="1" applyFill="1" applyBorder="1" applyAlignment="1">
      <alignment horizontal="center" vertical="center"/>
    </xf>
    <xf numFmtId="175" fontId="82" fillId="11" borderId="64" xfId="0" applyNumberFormat="1" applyFont="1" applyFill="1" applyBorder="1" applyAlignment="1">
      <alignment horizontal="center" vertical="center"/>
    </xf>
    <xf numFmtId="0" fontId="78" fillId="0" borderId="8" xfId="0" applyFont="1" applyBorder="1" applyAlignment="1">
      <alignment horizontal="center" vertical="center"/>
    </xf>
    <xf numFmtId="0" fontId="79" fillId="4" borderId="1" xfId="0" applyFont="1" applyFill="1" applyBorder="1" applyAlignment="1">
      <alignment horizontal="right" vertical="center" indent="1"/>
    </xf>
    <xf numFmtId="0" fontId="76" fillId="8" borderId="42" xfId="0" applyFont="1" applyFill="1" applyBorder="1" applyAlignment="1">
      <alignment horizontal="center" vertical="center"/>
    </xf>
    <xf numFmtId="0" fontId="76" fillId="8" borderId="59" xfId="0" applyFont="1" applyFill="1" applyBorder="1" applyAlignment="1">
      <alignment horizontal="center" vertical="center"/>
    </xf>
    <xf numFmtId="166" fontId="77" fillId="10" borderId="77" xfId="0" applyNumberFormat="1" applyFont="1" applyFill="1" applyBorder="1" applyAlignment="1">
      <alignment horizontal="center" vertical="center"/>
    </xf>
    <xf numFmtId="2" fontId="77" fillId="10" borderId="77" xfId="0" applyNumberFormat="1" applyFont="1" applyFill="1" applyBorder="1" applyAlignment="1">
      <alignment horizontal="center" vertical="center"/>
    </xf>
    <xf numFmtId="166" fontId="76" fillId="3" borderId="78" xfId="0" applyNumberFormat="1" applyFont="1" applyFill="1" applyBorder="1" applyAlignment="1">
      <alignment horizontal="center" vertical="center"/>
    </xf>
    <xf numFmtId="9" fontId="76" fillId="3" borderId="78" xfId="3" applyFont="1" applyFill="1" applyBorder="1" applyAlignment="1">
      <alignment horizontal="center" vertical="center"/>
    </xf>
    <xf numFmtId="175" fontId="78" fillId="49" borderId="0" xfId="0" applyNumberFormat="1" applyFont="1" applyFill="1"/>
    <xf numFmtId="43" fontId="0" fillId="7" borderId="67" xfId="1" applyFont="1" applyFill="1" applyBorder="1" applyAlignment="1" applyProtection="1">
      <alignment horizontal="center" vertical="center"/>
      <protection locked="0"/>
    </xf>
    <xf numFmtId="43" fontId="0" fillId="7" borderId="68" xfId="1" applyFont="1" applyFill="1" applyBorder="1" applyAlignment="1" applyProtection="1">
      <alignment horizontal="center" vertical="center"/>
      <protection locked="0"/>
    </xf>
    <xf numFmtId="166" fontId="0" fillId="7" borderId="69" xfId="1" applyNumberFormat="1" applyFont="1" applyFill="1" applyBorder="1" applyAlignment="1" applyProtection="1">
      <alignment horizontal="center" vertical="center"/>
      <protection locked="0"/>
    </xf>
    <xf numFmtId="43" fontId="0" fillId="7" borderId="69" xfId="1" applyFont="1" applyFill="1" applyBorder="1" applyAlignment="1" applyProtection="1">
      <alignment horizontal="center" vertical="center"/>
      <protection locked="0"/>
    </xf>
    <xf numFmtId="166" fontId="71" fillId="7" borderId="102" xfId="0" applyNumberFormat="1" applyFont="1" applyFill="1" applyBorder="1" applyAlignment="1" applyProtection="1">
      <alignment horizontal="center" vertical="center"/>
      <protection locked="0"/>
    </xf>
    <xf numFmtId="0" fontId="71" fillId="9" borderId="103" xfId="0" applyFont="1" applyFill="1" applyBorder="1" applyAlignment="1">
      <alignment horizontal="center" vertical="center"/>
    </xf>
    <xf numFmtId="0" fontId="0" fillId="0" borderId="104" xfId="0" applyBorder="1"/>
    <xf numFmtId="166" fontId="3" fillId="9" borderId="50" xfId="0" applyNumberFormat="1" applyFont="1" applyFill="1" applyBorder="1" applyAlignment="1">
      <alignment horizontal="right"/>
    </xf>
    <xf numFmtId="0" fontId="54" fillId="9" borderId="51" xfId="0" applyFont="1" applyFill="1" applyBorder="1" applyAlignment="1">
      <alignment horizontal="right"/>
    </xf>
    <xf numFmtId="0" fontId="54" fillId="9" borderId="51" xfId="0" applyFont="1" applyFill="1" applyBorder="1" applyAlignment="1">
      <alignment horizontal="left"/>
    </xf>
    <xf numFmtId="0" fontId="84" fillId="0" borderId="0" xfId="0" applyFont="1"/>
    <xf numFmtId="166" fontId="0" fillId="7" borderId="33" xfId="0" applyNumberFormat="1" applyFill="1" applyBorder="1" applyAlignment="1" applyProtection="1">
      <alignment horizontal="center" vertical="center"/>
      <protection locked="0"/>
    </xf>
    <xf numFmtId="166" fontId="0" fillId="57" borderId="33" xfId="0" applyNumberFormat="1" applyFill="1" applyBorder="1" applyAlignment="1" applyProtection="1">
      <alignment horizontal="center" vertical="center"/>
      <protection locked="0"/>
    </xf>
    <xf numFmtId="166" fontId="0" fillId="7" borderId="1" xfId="1" applyNumberFormat="1" applyFont="1" applyFill="1" applyBorder="1" applyAlignment="1" applyProtection="1">
      <alignment horizontal="center" vertical="center"/>
      <protection locked="0"/>
    </xf>
    <xf numFmtId="0" fontId="0" fillId="7" borderId="67" xfId="0" applyFill="1" applyBorder="1" applyAlignment="1">
      <alignment horizontal="center" vertical="center"/>
    </xf>
    <xf numFmtId="0" fontId="0" fillId="7" borderId="68" xfId="0" applyFill="1" applyBorder="1" applyAlignment="1">
      <alignment horizontal="center" vertical="center"/>
    </xf>
    <xf numFmtId="0" fontId="0" fillId="7" borderId="69" xfId="0" applyFill="1" applyBorder="1" applyAlignment="1">
      <alignment horizontal="center" vertical="center"/>
    </xf>
    <xf numFmtId="175" fontId="78" fillId="51" borderId="39" xfId="0" applyNumberFormat="1" applyFont="1" applyFill="1" applyBorder="1" applyAlignment="1">
      <alignment horizontal="center" vertical="center"/>
    </xf>
    <xf numFmtId="175" fontId="82" fillId="11" borderId="108" xfId="3" applyNumberFormat="1" applyFont="1" applyFill="1" applyBorder="1" applyAlignment="1">
      <alignment horizontal="center" vertical="center"/>
    </xf>
    <xf numFmtId="175" fontId="82" fillId="11" borderId="109" xfId="3" applyNumberFormat="1" applyFont="1" applyFill="1" applyBorder="1" applyAlignment="1">
      <alignment horizontal="center" vertical="center"/>
    </xf>
    <xf numFmtId="175" fontId="82" fillId="11" borderId="110" xfId="3" applyNumberFormat="1" applyFont="1" applyFill="1" applyBorder="1" applyAlignment="1">
      <alignment horizontal="center" vertical="center"/>
    </xf>
    <xf numFmtId="175" fontId="82" fillId="11" borderId="111" xfId="3" applyNumberFormat="1" applyFont="1" applyFill="1" applyBorder="1" applyAlignment="1">
      <alignment horizontal="center" vertical="center"/>
    </xf>
    <xf numFmtId="175" fontId="82" fillId="11" borderId="112" xfId="3" applyNumberFormat="1" applyFont="1" applyFill="1" applyBorder="1" applyAlignment="1">
      <alignment horizontal="center" vertical="center"/>
    </xf>
    <xf numFmtId="175" fontId="82" fillId="11" borderId="113" xfId="3" applyNumberFormat="1" applyFont="1" applyFill="1" applyBorder="1" applyAlignment="1">
      <alignment horizontal="center" vertical="center"/>
    </xf>
    <xf numFmtId="166" fontId="0" fillId="0" borderId="1" xfId="0" applyNumberFormat="1" applyBorder="1" applyAlignment="1">
      <alignment horizontal="center" vertical="center"/>
    </xf>
    <xf numFmtId="175" fontId="78" fillId="51" borderId="4" xfId="0" applyNumberFormat="1" applyFont="1" applyFill="1" applyBorder="1" applyAlignment="1">
      <alignment horizontal="center" vertical="center"/>
    </xf>
    <xf numFmtId="175" fontId="78" fillId="51" borderId="37" xfId="0" applyNumberFormat="1" applyFont="1" applyFill="1" applyBorder="1" applyAlignment="1">
      <alignment horizontal="center" vertical="center"/>
    </xf>
    <xf numFmtId="175" fontId="78" fillId="9" borderId="37" xfId="0" applyNumberFormat="1" applyFont="1" applyFill="1" applyBorder="1" applyAlignment="1">
      <alignment horizontal="center" vertical="center"/>
    </xf>
    <xf numFmtId="174" fontId="0" fillId="0" borderId="1" xfId="0" applyNumberFormat="1" applyBorder="1" applyAlignment="1">
      <alignment horizontal="center" vertical="center"/>
    </xf>
    <xf numFmtId="174" fontId="0" fillId="0" borderId="0" xfId="0" applyNumberFormat="1" applyAlignment="1">
      <alignment horizontal="center" vertical="center"/>
    </xf>
    <xf numFmtId="0" fontId="5"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horizontal="left" vertical="top" wrapText="1" indent="1"/>
    </xf>
    <xf numFmtId="175" fontId="78" fillId="54" borderId="115" xfId="0" applyNumberFormat="1" applyFont="1" applyFill="1" applyBorder="1" applyAlignment="1">
      <alignment horizontal="center" vertical="center"/>
    </xf>
    <xf numFmtId="175" fontId="82" fillId="11" borderId="116" xfId="0" applyNumberFormat="1" applyFont="1" applyFill="1" applyBorder="1" applyAlignment="1">
      <alignment horizontal="center" vertical="center"/>
    </xf>
    <xf numFmtId="175" fontId="82" fillId="11" borderId="117" xfId="0" applyNumberFormat="1" applyFont="1" applyFill="1" applyBorder="1" applyAlignment="1">
      <alignment horizontal="center" vertical="center"/>
    </xf>
    <xf numFmtId="175" fontId="82" fillId="11" borderId="118" xfId="0" applyNumberFormat="1" applyFont="1" applyFill="1" applyBorder="1" applyAlignment="1">
      <alignment horizontal="center" vertical="center"/>
    </xf>
    <xf numFmtId="175" fontId="82" fillId="11" borderId="119" xfId="0" applyNumberFormat="1" applyFont="1" applyFill="1" applyBorder="1" applyAlignment="1">
      <alignment horizontal="center" vertical="center"/>
    </xf>
    <xf numFmtId="175" fontId="83" fillId="56" borderId="121" xfId="0" applyNumberFormat="1" applyFont="1" applyFill="1" applyBorder="1" applyAlignment="1">
      <alignment horizontal="center" vertical="center"/>
    </xf>
    <xf numFmtId="175" fontId="83" fillId="56" borderId="120" xfId="0" applyNumberFormat="1" applyFont="1" applyFill="1" applyBorder="1" applyAlignment="1">
      <alignment horizontal="center" vertical="center"/>
    </xf>
    <xf numFmtId="0" fontId="14" fillId="0" borderId="0" xfId="0" applyFont="1" applyAlignment="1" applyProtection="1">
      <alignment horizontal="center" vertical="center" wrapText="1"/>
      <protection locked="0"/>
    </xf>
    <xf numFmtId="0" fontId="0" fillId="7" borderId="49" xfId="0" applyFill="1" applyBorder="1" applyAlignment="1" applyProtection="1">
      <alignment horizontal="center"/>
      <protection locked="0"/>
    </xf>
    <xf numFmtId="0" fontId="55" fillId="59" borderId="0" xfId="0" applyFont="1" applyFill="1" applyAlignment="1" applyProtection="1">
      <alignment vertical="center"/>
      <protection locked="0"/>
    </xf>
    <xf numFmtId="166" fontId="46" fillId="7" borderId="122" xfId="1" applyNumberFormat="1" applyFont="1" applyFill="1" applyBorder="1" applyAlignment="1" applyProtection="1">
      <alignment horizontal="center" vertical="center"/>
      <protection locked="0"/>
    </xf>
    <xf numFmtId="0" fontId="68" fillId="7" borderId="70" xfId="0" applyFont="1" applyFill="1" applyBorder="1" applyAlignment="1" applyProtection="1">
      <alignment horizontal="center"/>
      <protection locked="0"/>
    </xf>
    <xf numFmtId="0" fontId="68" fillId="9" borderId="71" xfId="0" applyFont="1" applyFill="1" applyBorder="1" applyAlignment="1" applyProtection="1">
      <alignment horizontal="center" vertical="center"/>
      <protection locked="0"/>
    </xf>
    <xf numFmtId="0" fontId="68" fillId="9" borderId="125" xfId="0" applyFont="1" applyFill="1" applyBorder="1" applyAlignment="1" applyProtection="1">
      <alignment horizontal="center" vertical="center"/>
      <protection locked="0"/>
    </xf>
    <xf numFmtId="0" fontId="90" fillId="60" borderId="0" xfId="0" applyFont="1" applyFill="1" applyAlignment="1">
      <alignment horizontal="left" vertical="top" wrapText="1" indent="1"/>
    </xf>
    <xf numFmtId="0" fontId="90" fillId="60" borderId="0" xfId="0" applyFont="1" applyFill="1" applyAlignment="1">
      <alignment horizontal="left" vertical="center" indent="1"/>
    </xf>
    <xf numFmtId="0" fontId="90" fillId="61" borderId="128" xfId="0" applyFont="1" applyFill="1" applyBorder="1" applyAlignment="1">
      <alignment vertical="center"/>
    </xf>
    <xf numFmtId="0" fontId="91" fillId="0" borderId="0" xfId="0" applyFont="1" applyAlignment="1">
      <alignment horizontal="center"/>
    </xf>
    <xf numFmtId="0" fontId="92" fillId="0" borderId="0" xfId="0" applyFont="1" applyAlignment="1">
      <alignment vertical="center"/>
    </xf>
    <xf numFmtId="0" fontId="18" fillId="0" borderId="0" xfId="0" applyFont="1" applyAlignment="1">
      <alignment horizontal="right" vertical="center"/>
    </xf>
    <xf numFmtId="0" fontId="90" fillId="0" borderId="132" xfId="0" applyFont="1" applyBorder="1" applyAlignment="1">
      <alignment vertical="center"/>
    </xf>
    <xf numFmtId="0" fontId="90" fillId="0" borderId="0" xfId="0" applyFont="1" applyAlignment="1">
      <alignment vertical="center"/>
    </xf>
    <xf numFmtId="0" fontId="46" fillId="2" borderId="137" xfId="0" applyFont="1" applyFill="1" applyBorder="1" applyAlignment="1">
      <alignment horizontal="center" vertical="center"/>
    </xf>
    <xf numFmtId="0" fontId="15" fillId="0" borderId="0" xfId="0" applyFont="1" applyAlignment="1">
      <alignment horizontal="left" vertical="center"/>
    </xf>
    <xf numFmtId="0" fontId="47" fillId="0" borderId="0" xfId="0" applyFont="1"/>
    <xf numFmtId="0" fontId="51" fillId="9" borderId="75" xfId="0" applyFont="1" applyFill="1" applyBorder="1" applyAlignment="1" applyProtection="1">
      <alignment horizontal="center" vertical="center"/>
      <protection locked="0"/>
    </xf>
    <xf numFmtId="0" fontId="51" fillId="9" borderId="67" xfId="0" applyFont="1" applyFill="1" applyBorder="1" applyAlignment="1" applyProtection="1">
      <alignment horizontal="center" vertical="center"/>
      <protection locked="0"/>
    </xf>
    <xf numFmtId="0" fontId="25" fillId="0" borderId="0" xfId="0" applyFont="1" applyAlignment="1">
      <alignment horizontal="center" vertical="center"/>
    </xf>
    <xf numFmtId="0" fontId="97" fillId="9" borderId="138" xfId="0" applyFont="1" applyFill="1" applyBorder="1" applyAlignment="1" applyProtection="1">
      <alignment horizontal="center" vertical="center" wrapText="1"/>
      <protection locked="0"/>
    </xf>
    <xf numFmtId="0" fontId="97" fillId="9" borderId="49" xfId="0" applyFont="1" applyFill="1" applyBorder="1" applyAlignment="1" applyProtection="1">
      <alignment horizontal="center" vertical="center" wrapText="1"/>
      <protection locked="0"/>
    </xf>
    <xf numFmtId="0" fontId="97" fillId="9" borderId="49" xfId="0" applyFont="1" applyFill="1" applyBorder="1" applyAlignment="1" applyProtection="1">
      <alignment horizontal="center" vertical="center"/>
      <protection locked="0"/>
    </xf>
    <xf numFmtId="0" fontId="97" fillId="9" borderId="139" xfId="0" applyFont="1" applyFill="1" applyBorder="1" applyAlignment="1" applyProtection="1">
      <alignment horizontal="center" vertical="center"/>
      <protection locked="0"/>
    </xf>
    <xf numFmtId="0" fontId="97" fillId="9" borderId="140" xfId="0" applyFont="1" applyFill="1" applyBorder="1" applyAlignment="1" applyProtection="1">
      <alignment horizontal="center" vertical="center"/>
      <protection locked="0"/>
    </xf>
    <xf numFmtId="0" fontId="26" fillId="0" borderId="0" xfId="0" applyFont="1"/>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wrapText="1"/>
    </xf>
    <xf numFmtId="0" fontId="47" fillId="0" borderId="67" xfId="0" applyFont="1" applyBorder="1" applyAlignment="1">
      <alignment vertical="center"/>
    </xf>
    <xf numFmtId="0" fontId="47" fillId="0" borderId="68" xfId="0" applyFont="1" applyBorder="1" applyAlignment="1">
      <alignment vertical="center"/>
    </xf>
    <xf numFmtId="0" fontId="62" fillId="0" borderId="69" xfId="0" applyFont="1" applyBorder="1" applyAlignment="1">
      <alignment vertical="center"/>
    </xf>
    <xf numFmtId="0" fontId="102" fillId="9" borderId="100" xfId="0" applyFont="1" applyFill="1" applyBorder="1" applyAlignment="1">
      <alignment horizontal="center" vertical="center"/>
    </xf>
    <xf numFmtId="0" fontId="102" fillId="9" borderId="101" xfId="0" applyFont="1" applyFill="1" applyBorder="1" applyAlignment="1">
      <alignment horizontal="center" vertical="center"/>
    </xf>
    <xf numFmtId="0" fontId="104" fillId="9" borderId="0" xfId="0" applyFont="1" applyFill="1" applyAlignment="1">
      <alignment horizontal="center" vertical="center"/>
    </xf>
    <xf numFmtId="0" fontId="26" fillId="9" borderId="0" xfId="0" applyFont="1" applyFill="1" applyAlignment="1">
      <alignment horizontal="center" vertical="center"/>
    </xf>
    <xf numFmtId="0" fontId="24" fillId="9" borderId="50" xfId="0" applyFont="1" applyFill="1" applyBorder="1" applyAlignment="1">
      <alignment horizontal="center" vertical="center"/>
    </xf>
    <xf numFmtId="0" fontId="24" fillId="9" borderId="0" xfId="0" applyFont="1" applyFill="1" applyAlignment="1">
      <alignment horizontal="center" vertical="center"/>
    </xf>
    <xf numFmtId="0" fontId="101" fillId="2" borderId="51" xfId="0" applyFont="1" applyFill="1" applyBorder="1" applyAlignment="1">
      <alignment horizontal="center" vertical="center"/>
    </xf>
    <xf numFmtId="0" fontId="26" fillId="9" borderId="50" xfId="0" applyFont="1" applyFill="1" applyBorder="1" applyAlignment="1">
      <alignment horizontal="center" vertical="center"/>
    </xf>
    <xf numFmtId="0" fontId="13" fillId="0" borderId="0" xfId="0" applyFont="1" applyAlignment="1">
      <alignment horizontal="left" wrapText="1"/>
    </xf>
    <xf numFmtId="0" fontId="13" fillId="0" borderId="0" xfId="0" applyFont="1" applyAlignment="1">
      <alignment horizontal="center" wrapText="1"/>
    </xf>
    <xf numFmtId="0" fontId="15" fillId="0" borderId="0" xfId="0" applyFont="1" applyAlignment="1">
      <alignment horizontal="left"/>
    </xf>
    <xf numFmtId="0" fontId="3" fillId="0" borderId="0" xfId="0" applyFont="1" applyAlignment="1">
      <alignment horizontal="center" vertical="center"/>
    </xf>
    <xf numFmtId="0" fontId="0" fillId="0" borderId="66" xfId="0" applyBorder="1"/>
    <xf numFmtId="9" fontId="0" fillId="0" borderId="0" xfId="3" applyFont="1" applyFill="1" applyBorder="1" applyAlignment="1" applyProtection="1">
      <alignment horizontal="center"/>
      <protection locked="0"/>
    </xf>
    <xf numFmtId="0" fontId="92" fillId="0" borderId="0" xfId="0" applyFont="1"/>
    <xf numFmtId="0" fontId="93" fillId="0" borderId="0" xfId="0" applyFont="1" applyAlignment="1">
      <alignment horizontal="center" vertical="center"/>
    </xf>
    <xf numFmtId="0" fontId="73" fillId="0" borderId="0" xfId="0" applyFont="1" applyAlignment="1">
      <alignment horizontal="center" vertical="center"/>
    </xf>
    <xf numFmtId="0" fontId="24" fillId="0" borderId="0" xfId="0" applyFont="1" applyAlignment="1">
      <alignment vertical="center"/>
    </xf>
    <xf numFmtId="0" fontId="47" fillId="0" borderId="0" xfId="0" applyFont="1" applyAlignment="1">
      <alignment vertical="center"/>
    </xf>
    <xf numFmtId="0" fontId="113" fillId="2" borderId="0" xfId="2" applyFont="1" applyFill="1"/>
    <xf numFmtId="0" fontId="47" fillId="2" borderId="0" xfId="0" applyFont="1" applyFill="1" applyAlignment="1">
      <alignment horizontal="right"/>
    </xf>
    <xf numFmtId="3" fontId="46" fillId="7" borderId="66" xfId="0" applyNumberFormat="1" applyFont="1" applyFill="1" applyBorder="1" applyAlignment="1" applyProtection="1">
      <alignment horizontal="center" vertical="center"/>
      <protection locked="0"/>
    </xf>
    <xf numFmtId="166" fontId="0" fillId="7" borderId="66" xfId="0" applyNumberFormat="1" applyFill="1" applyBorder="1" applyAlignment="1" applyProtection="1">
      <alignment horizontal="center" vertical="center"/>
      <protection locked="0"/>
    </xf>
    <xf numFmtId="0" fontId="0" fillId="7" borderId="66" xfId="0" applyFill="1" applyBorder="1" applyAlignment="1">
      <alignment horizontal="center" vertical="center"/>
    </xf>
    <xf numFmtId="174" fontId="78" fillId="9" borderId="16" xfId="0" applyNumberFormat="1" applyFont="1" applyFill="1" applyBorder="1" applyAlignment="1">
      <alignment horizontal="center" vertical="center"/>
    </xf>
    <xf numFmtId="0" fontId="119" fillId="63" borderId="1" xfId="0" applyFont="1" applyFill="1" applyBorder="1" applyAlignment="1">
      <alignment horizontal="center"/>
    </xf>
    <xf numFmtId="0" fontId="119" fillId="63" borderId="1" xfId="0" applyFont="1" applyFill="1" applyBorder="1" applyAlignment="1">
      <alignment horizontal="center" vertical="center"/>
    </xf>
    <xf numFmtId="0" fontId="22" fillId="0" borderId="78" xfId="0" applyFont="1" applyBorder="1" applyAlignment="1">
      <alignment horizontal="center" vertical="center"/>
    </xf>
    <xf numFmtId="174" fontId="22" fillId="0" borderId="142" xfId="0" applyNumberFormat="1" applyFont="1" applyBorder="1" applyAlignment="1">
      <alignment horizontal="center" vertical="center"/>
    </xf>
    <xf numFmtId="174" fontId="22" fillId="0" borderId="78" xfId="0" applyNumberFormat="1" applyFont="1" applyBorder="1" applyAlignment="1">
      <alignment horizontal="center" vertical="center"/>
    </xf>
    <xf numFmtId="0" fontId="22" fillId="0" borderId="143" xfId="0" applyFont="1" applyBorder="1" applyAlignment="1">
      <alignment horizontal="center" vertical="center"/>
    </xf>
    <xf numFmtId="0" fontId="22" fillId="0" borderId="144" xfId="0" applyFont="1" applyBorder="1" applyAlignment="1">
      <alignment horizontal="center" vertical="center"/>
    </xf>
    <xf numFmtId="0" fontId="0" fillId="0" borderId="114" xfId="0" applyBorder="1" applyAlignment="1">
      <alignment horizontal="center" vertical="center"/>
    </xf>
    <xf numFmtId="0" fontId="85" fillId="63" borderId="114" xfId="0" applyFont="1" applyFill="1" applyBorder="1" applyAlignment="1">
      <alignment horizontal="center" vertical="center"/>
    </xf>
    <xf numFmtId="174" fontId="85" fillId="63" borderId="145" xfId="0" applyNumberFormat="1" applyFont="1" applyFill="1" applyBorder="1" applyAlignment="1">
      <alignment horizontal="center" vertical="center"/>
    </xf>
    <xf numFmtId="174" fontId="0" fillId="0" borderId="114" xfId="0" applyNumberFormat="1" applyBorder="1" applyAlignment="1">
      <alignment horizontal="center" vertical="center"/>
    </xf>
    <xf numFmtId="0" fontId="0" fillId="0" borderId="146" xfId="0" applyBorder="1" applyAlignment="1">
      <alignment horizontal="center" vertical="center"/>
    </xf>
    <xf numFmtId="0" fontId="85" fillId="63" borderId="5" xfId="0" applyFont="1" applyFill="1" applyBorder="1" applyAlignment="1">
      <alignment horizontal="center" vertical="center"/>
    </xf>
    <xf numFmtId="0" fontId="85" fillId="63" borderId="1" xfId="0" applyFont="1" applyFill="1" applyBorder="1" applyAlignment="1">
      <alignment horizontal="center" vertical="center"/>
    </xf>
    <xf numFmtId="174" fontId="85" fillId="63" borderId="16" xfId="0" applyNumberFormat="1" applyFont="1" applyFill="1" applyBorder="1" applyAlignment="1">
      <alignment horizontal="center" vertical="center"/>
    </xf>
    <xf numFmtId="0" fontId="0" fillId="0" borderId="17" xfId="0" applyBorder="1" applyAlignment="1">
      <alignment horizontal="center" vertical="center"/>
    </xf>
    <xf numFmtId="0" fontId="85" fillId="63" borderId="3" xfId="0" applyFont="1" applyFill="1" applyBorder="1" applyAlignment="1">
      <alignment horizontal="center" vertical="center"/>
    </xf>
    <xf numFmtId="175" fontId="85" fillId="63" borderId="16" xfId="0" applyNumberFormat="1" applyFont="1" applyFill="1" applyBorder="1" applyAlignment="1">
      <alignment horizontal="center" vertical="center"/>
    </xf>
    <xf numFmtId="174" fontId="85" fillId="63" borderId="1" xfId="0" applyNumberFormat="1" applyFont="1" applyFill="1" applyBorder="1" applyAlignment="1">
      <alignment horizontal="center" vertical="center"/>
    </xf>
    <xf numFmtId="175" fontId="85" fillId="63" borderId="1" xfId="0" applyNumberFormat="1" applyFont="1" applyFill="1" applyBorder="1" applyAlignment="1">
      <alignment horizontal="center" vertical="center"/>
    </xf>
    <xf numFmtId="174" fontId="0" fillId="0" borderId="16" xfId="0" applyNumberFormat="1" applyBorder="1" applyAlignment="1">
      <alignment horizontal="center" vertical="center"/>
    </xf>
    <xf numFmtId="174" fontId="119" fillId="63" borderId="16" xfId="0" applyNumberFormat="1" applyFont="1" applyFill="1" applyBorder="1" applyAlignment="1">
      <alignment horizontal="center" vertical="center"/>
    </xf>
    <xf numFmtId="175" fontId="0" fillId="0" borderId="16" xfId="0" applyNumberFormat="1" applyBorder="1" applyAlignment="1">
      <alignment horizontal="center" vertical="center"/>
    </xf>
    <xf numFmtId="0" fontId="121" fillId="63" borderId="3" xfId="2" applyFont="1" applyFill="1" applyBorder="1" applyAlignment="1">
      <alignment horizontal="center" vertical="center"/>
    </xf>
    <xf numFmtId="175" fontId="119" fillId="58" borderId="16" xfId="0" applyNumberFormat="1" applyFont="1" applyFill="1" applyBorder="1" applyAlignment="1">
      <alignment horizontal="center" vertical="center"/>
    </xf>
    <xf numFmtId="0" fontId="123" fillId="51" borderId="78" xfId="0" applyFont="1" applyFill="1" applyBorder="1" applyAlignment="1">
      <alignment horizontal="center" vertical="center"/>
    </xf>
    <xf numFmtId="0" fontId="123" fillId="51" borderId="141" xfId="0" applyFont="1" applyFill="1" applyBorder="1" applyAlignment="1">
      <alignment horizontal="center" vertical="center"/>
    </xf>
    <xf numFmtId="0" fontId="123" fillId="51" borderId="114" xfId="0" applyFont="1" applyFill="1" applyBorder="1" applyAlignment="1">
      <alignment horizontal="center" vertical="center"/>
    </xf>
    <xf numFmtId="0" fontId="123" fillId="51" borderId="6" xfId="0" applyFont="1" applyFill="1" applyBorder="1" applyAlignment="1">
      <alignment horizontal="center" vertical="center"/>
    </xf>
    <xf numFmtId="0" fontId="123" fillId="51" borderId="1" xfId="0" applyFont="1" applyFill="1" applyBorder="1" applyAlignment="1">
      <alignment horizontal="center" vertical="center"/>
    </xf>
    <xf numFmtId="0" fontId="123" fillId="51" borderId="4" xfId="0" applyFont="1" applyFill="1" applyBorder="1" applyAlignment="1">
      <alignment horizontal="center" vertical="center"/>
    </xf>
    <xf numFmtId="0" fontId="124" fillId="51" borderId="1" xfId="0" applyFont="1" applyFill="1" applyBorder="1" applyAlignment="1">
      <alignment horizontal="center" vertical="center"/>
    </xf>
    <xf numFmtId="0" fontId="124" fillId="51" borderId="4" xfId="0" applyFont="1" applyFill="1" applyBorder="1" applyAlignment="1">
      <alignment horizontal="center" vertical="center"/>
    </xf>
    <xf numFmtId="0" fontId="124" fillId="51" borderId="0" xfId="0" applyFont="1" applyFill="1" applyAlignment="1">
      <alignment horizontal="center" vertical="center"/>
    </xf>
    <xf numFmtId="0" fontId="90" fillId="60" borderId="0" xfId="0" applyFont="1" applyFill="1" applyAlignment="1">
      <alignment horizontal="left" vertical="top" wrapText="1" indent="1"/>
    </xf>
    <xf numFmtId="0" fontId="70" fillId="9" borderId="0" xfId="0" applyFont="1" applyFill="1" applyAlignment="1">
      <alignment horizontal="left" vertical="center" indent="1"/>
    </xf>
    <xf numFmtId="0" fontId="47" fillId="2" borderId="55" xfId="0" applyFont="1" applyFill="1" applyBorder="1" applyAlignment="1">
      <alignment horizontal="left" vertical="center" wrapText="1" indent="1"/>
    </xf>
    <xf numFmtId="0" fontId="0" fillId="2" borderId="56" xfId="0" applyFill="1" applyBorder="1" applyAlignment="1">
      <alignment horizontal="center" vertical="center"/>
    </xf>
    <xf numFmtId="0" fontId="0" fillId="2" borderId="55" xfId="0" applyFill="1" applyBorder="1" applyAlignment="1">
      <alignment horizontal="center" vertical="center"/>
    </xf>
    <xf numFmtId="0" fontId="0" fillId="2" borderId="137" xfId="0" applyFill="1" applyBorder="1" applyAlignment="1">
      <alignment horizontal="center" vertical="center"/>
    </xf>
    <xf numFmtId="0" fontId="47" fillId="2" borderId="56" xfId="0" applyFont="1" applyFill="1" applyBorder="1" applyAlignment="1">
      <alignment horizontal="left" vertical="center" wrapText="1" indent="1"/>
    </xf>
    <xf numFmtId="0" fontId="95" fillId="2" borderId="55" xfId="0" applyFont="1" applyFill="1" applyBorder="1" applyAlignment="1">
      <alignment horizontal="left" vertical="center" wrapText="1" indent="1"/>
    </xf>
    <xf numFmtId="0" fontId="55" fillId="2" borderId="0" xfId="0" applyFont="1" applyFill="1" applyAlignment="1">
      <alignment horizontal="center" vertical="center" wrapText="1"/>
    </xf>
    <xf numFmtId="0" fontId="14" fillId="0" borderId="0" xfId="0" applyFont="1" applyAlignment="1" applyProtection="1">
      <alignment horizontal="left" vertical="center" wrapText="1" indent="1"/>
      <protection locked="0"/>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38" fillId="49" borderId="0" xfId="0" applyFont="1" applyFill="1" applyAlignment="1">
      <alignment horizontal="center" vertical="center"/>
    </xf>
    <xf numFmtId="0" fontId="56" fillId="2" borderId="0" xfId="0" applyFont="1" applyFill="1" applyAlignment="1">
      <alignment horizontal="center" vertical="center" wrapText="1"/>
    </xf>
    <xf numFmtId="0" fontId="0" fillId="2" borderId="0" xfId="0" applyFill="1" applyAlignment="1">
      <alignment horizontal="left" vertical="center" indent="1"/>
    </xf>
    <xf numFmtId="0" fontId="14" fillId="0" borderId="0" xfId="0" applyFont="1" applyAlignment="1">
      <alignment horizontal="right"/>
    </xf>
    <xf numFmtId="0" fontId="53" fillId="0" borderId="0" xfId="0" applyFont="1" applyAlignment="1">
      <alignment horizontal="left" vertical="center" wrapText="1" indent="1"/>
    </xf>
    <xf numFmtId="9" fontId="0" fillId="7" borderId="66" xfId="3" applyFont="1" applyFill="1" applyBorder="1" applyAlignment="1" applyProtection="1">
      <alignment horizontal="center"/>
      <protection locked="0"/>
    </xf>
    <xf numFmtId="0" fontId="69" fillId="52" borderId="0" xfId="0" applyFont="1" applyFill="1" applyAlignment="1" applyProtection="1">
      <alignment horizontal="center"/>
      <protection locked="0"/>
    </xf>
    <xf numFmtId="0" fontId="24" fillId="0" borderId="0" xfId="0" applyFont="1" applyAlignment="1">
      <alignment horizontal="left" vertical="center" wrapText="1"/>
    </xf>
    <xf numFmtId="0" fontId="23" fillId="0" borderId="0" xfId="0" applyFont="1" applyAlignment="1">
      <alignment horizontal="left" vertical="center" wrapText="1"/>
    </xf>
    <xf numFmtId="0" fontId="23" fillId="0" borderId="65"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center"/>
    </xf>
    <xf numFmtId="0" fontId="66" fillId="0" borderId="131" xfId="0" applyFont="1" applyBorder="1" applyAlignment="1">
      <alignment horizontal="center" vertical="center"/>
    </xf>
    <xf numFmtId="0" fontId="115" fillId="0" borderId="0" xfId="0" applyFont="1" applyAlignment="1">
      <alignment horizontal="left" vertical="center" wrapText="1"/>
    </xf>
    <xf numFmtId="0" fontId="112" fillId="0" borderId="0" xfId="0" applyFont="1" applyAlignment="1">
      <alignment horizontal="left" vertical="center" wrapText="1"/>
    </xf>
    <xf numFmtId="0" fontId="0" fillId="7" borderId="50"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1" xfId="0" applyFill="1" applyBorder="1" applyAlignment="1" applyProtection="1">
      <alignment horizontal="center" vertical="center"/>
      <protection locked="0"/>
    </xf>
    <xf numFmtId="0" fontId="3" fillId="0" borderId="83" xfId="0" applyFont="1" applyBorder="1" applyAlignment="1">
      <alignment horizontal="center" vertical="center"/>
    </xf>
    <xf numFmtId="0" fontId="55" fillId="52" borderId="122" xfId="0" applyFont="1" applyFill="1" applyBorder="1" applyAlignment="1" applyProtection="1">
      <alignment horizontal="center" vertical="center"/>
      <protection locked="0"/>
    </xf>
    <xf numFmtId="0" fontId="55" fillId="52" borderId="125" xfId="0" applyFont="1" applyFill="1" applyBorder="1" applyAlignment="1" applyProtection="1">
      <alignment horizontal="center" vertical="center"/>
      <protection locked="0"/>
    </xf>
    <xf numFmtId="0" fontId="55" fillId="52" borderId="123" xfId="0" applyFont="1" applyFill="1" applyBorder="1" applyAlignment="1" applyProtection="1">
      <alignment horizontal="center" vertical="center"/>
      <protection locked="0"/>
    </xf>
    <xf numFmtId="0" fontId="55" fillId="52" borderId="126" xfId="0" applyFont="1" applyFill="1" applyBorder="1" applyAlignment="1" applyProtection="1">
      <alignment horizontal="center" vertical="center"/>
      <protection locked="0"/>
    </xf>
    <xf numFmtId="0" fontId="55" fillId="52" borderId="124" xfId="0" applyFont="1" applyFill="1" applyBorder="1" applyAlignment="1" applyProtection="1">
      <alignment horizontal="center" vertical="center"/>
      <protection locked="0"/>
    </xf>
    <xf numFmtId="0" fontId="55" fillId="52" borderId="127" xfId="0" applyFont="1" applyFill="1" applyBorder="1" applyAlignment="1" applyProtection="1">
      <alignment horizontal="center" vertical="center"/>
      <protection locked="0"/>
    </xf>
    <xf numFmtId="0" fontId="23" fillId="0" borderId="65" xfId="0" applyFont="1" applyBorder="1" applyAlignment="1">
      <alignment horizontal="left" vertical="center" wrapText="1"/>
    </xf>
    <xf numFmtId="0" fontId="0" fillId="0" borderId="66" xfId="0" applyBorder="1" applyAlignment="1">
      <alignment horizontal="left"/>
    </xf>
    <xf numFmtId="0" fontId="90" fillId="61" borderId="50" xfId="0" applyFont="1" applyFill="1" applyBorder="1" applyAlignment="1">
      <alignment horizontal="center" vertical="center"/>
    </xf>
    <xf numFmtId="0" fontId="90" fillId="61" borderId="0" xfId="0" applyFont="1" applyFill="1" applyAlignment="1">
      <alignment horizontal="center" vertical="center"/>
    </xf>
    <xf numFmtId="0" fontId="90" fillId="61" borderId="131" xfId="0" applyFont="1" applyFill="1" applyBorder="1" applyAlignment="1">
      <alignment horizontal="center" vertical="center"/>
    </xf>
    <xf numFmtId="0" fontId="0" fillId="7" borderId="50"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1" xfId="0" applyFill="1" applyBorder="1" applyAlignment="1" applyProtection="1">
      <alignment horizontal="center" vertical="center" wrapText="1"/>
      <protection locked="0"/>
    </xf>
    <xf numFmtId="0" fontId="86" fillId="0" borderId="0" xfId="0" applyFont="1" applyAlignment="1">
      <alignment horizontal="center" vertical="center" wrapText="1"/>
    </xf>
    <xf numFmtId="0" fontId="90" fillId="61" borderId="132" xfId="0" applyFont="1" applyFill="1" applyBorder="1" applyAlignment="1">
      <alignment horizontal="center" vertical="center"/>
    </xf>
    <xf numFmtId="0" fontId="55" fillId="52" borderId="70" xfId="0" applyFont="1" applyFill="1" applyBorder="1" applyAlignment="1" applyProtection="1">
      <alignment horizontal="center" vertical="center"/>
      <protection locked="0"/>
    </xf>
    <xf numFmtId="0" fontId="55" fillId="52" borderId="68" xfId="0" applyFont="1" applyFill="1" applyBorder="1" applyAlignment="1" applyProtection="1">
      <alignment horizontal="center" vertical="center"/>
      <protection locked="0"/>
    </xf>
    <xf numFmtId="0" fontId="55" fillId="52" borderId="71" xfId="0" applyFont="1" applyFill="1" applyBorder="1" applyAlignment="1" applyProtection="1">
      <alignment horizontal="center" vertical="center"/>
      <protection locked="0"/>
    </xf>
    <xf numFmtId="0" fontId="97" fillId="0" borderId="51" xfId="0" applyFont="1" applyBorder="1" applyAlignment="1">
      <alignment horizontal="center" vertical="center"/>
    </xf>
    <xf numFmtId="0" fontId="14" fillId="0" borderId="0" xfId="0" applyFont="1" applyAlignment="1">
      <alignment horizontal="left"/>
    </xf>
    <xf numFmtId="0" fontId="14" fillId="0" borderId="30" xfId="0" applyFont="1" applyBorder="1" applyAlignment="1">
      <alignment horizontal="left"/>
    </xf>
    <xf numFmtId="0" fontId="90" fillId="0" borderId="66" xfId="0" applyFont="1" applyBorder="1" applyAlignment="1">
      <alignment horizontal="left" vertical="center" wrapText="1"/>
    </xf>
    <xf numFmtId="0" fontId="90" fillId="0" borderId="83" xfId="0" applyFont="1" applyBorder="1" applyAlignment="1">
      <alignment horizontal="left" vertical="center" wrapText="1"/>
    </xf>
    <xf numFmtId="0" fontId="116" fillId="0" borderId="0" xfId="0" applyFont="1" applyAlignment="1" applyProtection="1">
      <alignment horizontal="center" vertical="center" wrapText="1"/>
      <protection locked="0"/>
    </xf>
    <xf numFmtId="0" fontId="116" fillId="0" borderId="0" xfId="0" applyFont="1" applyAlignment="1">
      <alignment horizontal="center" vertical="center" wrapText="1"/>
    </xf>
    <xf numFmtId="0" fontId="90" fillId="61" borderId="51" xfId="0" applyFont="1" applyFill="1" applyBorder="1" applyAlignment="1">
      <alignment horizontal="center" vertical="center"/>
    </xf>
    <xf numFmtId="0" fontId="25" fillId="0" borderId="0" xfId="0" applyFont="1" applyAlignment="1">
      <alignment horizontal="center" vertical="center"/>
    </xf>
    <xf numFmtId="0" fontId="25" fillId="0" borderId="51" xfId="0" applyFont="1" applyBorder="1" applyAlignment="1">
      <alignment horizontal="center" vertical="center"/>
    </xf>
    <xf numFmtId="0" fontId="25" fillId="0" borderId="0" xfId="0" applyFont="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0" xfId="0" applyFont="1" applyAlignment="1">
      <alignment horizontal="righ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23" fillId="0" borderId="0" xfId="0" applyFont="1" applyAlignment="1">
      <alignment horizontal="left" vertical="top"/>
    </xf>
    <xf numFmtId="0" fontId="20" fillId="2" borderId="0" xfId="2" applyFont="1" applyFill="1" applyBorder="1" applyAlignment="1" applyProtection="1">
      <alignment horizontal="center" vertical="center"/>
      <protection locked="0"/>
    </xf>
    <xf numFmtId="0" fontId="24" fillId="0" borderId="0" xfId="0" applyFont="1" applyAlignment="1">
      <alignment horizontal="left" vertical="top" wrapText="1"/>
    </xf>
    <xf numFmtId="0" fontId="94" fillId="0" borderId="133" xfId="0" applyFont="1" applyBorder="1" applyAlignment="1">
      <alignment horizontal="center" vertical="center" wrapText="1"/>
    </xf>
    <xf numFmtId="0" fontId="94" fillId="0" borderId="134" xfId="0" applyFont="1" applyBorder="1" applyAlignment="1">
      <alignment horizontal="center" vertical="center" wrapText="1"/>
    </xf>
    <xf numFmtId="0" fontId="100" fillId="2" borderId="0" xfId="0" applyFont="1" applyFill="1" applyAlignment="1">
      <alignment horizontal="left" vertical="center" wrapText="1"/>
    </xf>
    <xf numFmtId="0" fontId="100" fillId="2" borderId="30" xfId="0" applyFont="1" applyFill="1" applyBorder="1" applyAlignment="1">
      <alignment horizontal="left" vertical="center" wrapText="1"/>
    </xf>
    <xf numFmtId="0" fontId="117" fillId="0" borderId="0" xfId="0" applyFont="1" applyAlignment="1">
      <alignment horizontal="center" vertical="center" wrapText="1"/>
    </xf>
    <xf numFmtId="0" fontId="118" fillId="0" borderId="0" xfId="0" applyFont="1" applyAlignment="1">
      <alignment horizontal="center" vertical="center" wrapText="1"/>
    </xf>
    <xf numFmtId="0" fontId="58" fillId="62" borderId="135" xfId="0" applyFont="1" applyFill="1" applyBorder="1" applyAlignment="1">
      <alignment horizontal="center" vertical="center"/>
    </xf>
    <xf numFmtId="0" fontId="58" fillId="62" borderId="136" xfId="0" applyFont="1" applyFill="1" applyBorder="1" applyAlignment="1">
      <alignment horizontal="center" vertical="center"/>
    </xf>
    <xf numFmtId="0" fontId="58" fillId="62" borderId="129" xfId="0" applyFont="1" applyFill="1" applyBorder="1" applyAlignment="1">
      <alignment horizontal="center" vertical="center"/>
    </xf>
    <xf numFmtId="0" fontId="58" fillId="62" borderId="130" xfId="0" applyFont="1" applyFill="1" applyBorder="1" applyAlignment="1">
      <alignment horizontal="center" vertical="center"/>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81" xfId="0" applyBorder="1" applyAlignment="1">
      <alignment horizontal="left" vertical="center" wrapText="1"/>
    </xf>
    <xf numFmtId="0" fontId="0" fillId="0" borderId="82" xfId="0" applyBorder="1" applyAlignment="1">
      <alignment horizontal="left" vertical="center" wrapText="1"/>
    </xf>
    <xf numFmtId="0" fontId="0" fillId="0" borderId="10"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5" fillId="2" borderId="0" xfId="0" applyFont="1" applyFill="1" applyAlignment="1">
      <alignment horizontal="center" vertical="center"/>
    </xf>
    <xf numFmtId="0" fontId="25" fillId="2" borderId="105" xfId="0" applyFont="1" applyFill="1" applyBorder="1" applyAlignment="1">
      <alignment horizontal="center" vertical="center"/>
    </xf>
    <xf numFmtId="0" fontId="25" fillId="2" borderId="106" xfId="0" applyFont="1" applyFill="1" applyBorder="1" applyAlignment="1">
      <alignment horizontal="center" vertical="center"/>
    </xf>
    <xf numFmtId="0" fontId="25" fillId="2" borderId="107" xfId="0" applyFont="1" applyFill="1" applyBorder="1" applyAlignment="1">
      <alignment horizontal="center" vertical="center"/>
    </xf>
    <xf numFmtId="0" fontId="14" fillId="2" borderId="105" xfId="0" applyFont="1" applyFill="1" applyBorder="1" applyAlignment="1">
      <alignment horizontal="center" vertical="center"/>
    </xf>
    <xf numFmtId="0" fontId="14" fillId="2" borderId="106" xfId="0" applyFont="1" applyFill="1" applyBorder="1" applyAlignment="1">
      <alignment horizontal="center" vertical="center"/>
    </xf>
    <xf numFmtId="0" fontId="14" fillId="2" borderId="107" xfId="0" applyFont="1" applyFill="1" applyBorder="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47" fillId="0" borderId="90" xfId="0" applyFont="1" applyBorder="1" applyAlignment="1">
      <alignment horizontal="center" vertical="center"/>
    </xf>
    <xf numFmtId="0" fontId="47" fillId="0" borderId="88" xfId="0" applyFont="1" applyBorder="1" applyAlignment="1">
      <alignment horizontal="center" vertical="center" wrapText="1"/>
    </xf>
    <xf numFmtId="0" fontId="47" fillId="0" borderId="90" xfId="0" applyFont="1" applyBorder="1" applyAlignment="1">
      <alignment horizontal="center" vertical="center" wrapText="1"/>
    </xf>
    <xf numFmtId="0" fontId="47" fillId="0" borderId="91" xfId="0" applyFont="1" applyBorder="1" applyAlignment="1">
      <alignment horizontal="center" vertical="center" wrapText="1"/>
    </xf>
    <xf numFmtId="0" fontId="53" fillId="0" borderId="0" xfId="0" applyFont="1" applyAlignment="1">
      <alignment horizontal="left" vertical="center" wrapText="1"/>
    </xf>
    <xf numFmtId="0" fontId="54" fillId="9" borderId="51" xfId="0" applyFont="1" applyFill="1" applyBorder="1" applyAlignment="1">
      <alignment horizontal="left" vertical="center"/>
    </xf>
    <xf numFmtId="0" fontId="3" fillId="9" borderId="50" xfId="0" applyFont="1" applyFill="1" applyBorder="1" applyAlignment="1">
      <alignment horizontal="left" vertical="center"/>
    </xf>
    <xf numFmtId="166" fontId="2" fillId="7" borderId="0" xfId="1" applyNumberFormat="1" applyFont="1" applyFill="1" applyAlignment="1">
      <alignment horizontal="right" vertical="center"/>
    </xf>
    <xf numFmtId="0" fontId="0" fillId="7" borderId="0" xfId="0" applyFill="1" applyAlignment="1">
      <alignment horizontal="right" vertical="center"/>
    </xf>
    <xf numFmtId="0" fontId="55" fillId="2" borderId="69" xfId="0" applyFont="1" applyFill="1" applyBorder="1" applyAlignment="1">
      <alignment vertical="center" wrapText="1"/>
    </xf>
    <xf numFmtId="0" fontId="0" fillId="0" borderId="85" xfId="0" applyBorder="1" applyAlignment="1">
      <alignment horizontal="center"/>
    </xf>
    <xf numFmtId="0" fontId="0" fillId="0" borderId="90" xfId="0" applyBorder="1" applyAlignment="1">
      <alignment horizontal="center"/>
    </xf>
    <xf numFmtId="165" fontId="0" fillId="0" borderId="85" xfId="1" applyNumberFormat="1" applyFont="1" applyBorder="1" applyAlignment="1">
      <alignment horizontal="center" vertical="center"/>
    </xf>
    <xf numFmtId="165" fontId="0" fillId="0" borderId="0" xfId="1" applyNumberFormat="1" applyFont="1" applyBorder="1" applyAlignment="1">
      <alignment horizontal="center" vertical="center"/>
    </xf>
    <xf numFmtId="165" fontId="0" fillId="0" borderId="90" xfId="1" applyNumberFormat="1" applyFont="1" applyBorder="1" applyAlignment="1">
      <alignment horizontal="center" vertical="center"/>
    </xf>
    <xf numFmtId="165" fontId="0" fillId="0" borderId="85" xfId="1" applyNumberFormat="1" applyFont="1" applyBorder="1" applyAlignment="1">
      <alignment horizontal="center"/>
    </xf>
    <xf numFmtId="165" fontId="0" fillId="0" borderId="0" xfId="1" applyNumberFormat="1" applyFont="1" applyBorder="1" applyAlignment="1">
      <alignment horizontal="center"/>
    </xf>
    <xf numFmtId="165" fontId="0" fillId="0" borderId="90" xfId="1" applyNumberFormat="1" applyFont="1" applyBorder="1" applyAlignment="1">
      <alignment horizontal="center"/>
    </xf>
    <xf numFmtId="3" fontId="22" fillId="0" borderId="85" xfId="1" applyNumberFormat="1" applyFont="1" applyBorder="1" applyAlignment="1">
      <alignment horizontal="center"/>
    </xf>
    <xf numFmtId="179" fontId="22" fillId="0" borderId="85" xfId="0" applyNumberFormat="1" applyFont="1" applyBorder="1" applyAlignment="1">
      <alignment horizontal="center"/>
    </xf>
    <xf numFmtId="179" fontId="22" fillId="0" borderId="86" xfId="0" applyNumberFormat="1" applyFont="1" applyBorder="1" applyAlignment="1">
      <alignment horizontal="center"/>
    </xf>
    <xf numFmtId="0" fontId="22" fillId="0" borderId="84" xfId="0" applyFont="1" applyBorder="1" applyAlignment="1">
      <alignment horizontal="left" vertical="center" wrapText="1" indent="1"/>
    </xf>
    <xf numFmtId="0" fontId="22" fillId="0" borderId="85" xfId="0" applyFont="1" applyBorder="1" applyAlignment="1">
      <alignment horizontal="left" vertical="center" wrapText="1" indent="1"/>
    </xf>
    <xf numFmtId="0" fontId="22" fillId="0" borderId="87"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89" xfId="0" applyFont="1" applyBorder="1" applyAlignment="1">
      <alignment horizontal="left" vertical="center" wrapText="1" indent="1"/>
    </xf>
    <xf numFmtId="0" fontId="22" fillId="0" borderId="90" xfId="0" applyFont="1" applyBorder="1" applyAlignment="1">
      <alignment horizontal="left" vertical="center" wrapText="1" indent="1"/>
    </xf>
    <xf numFmtId="0" fontId="24" fillId="0" borderId="0" xfId="0" applyFont="1" applyAlignment="1">
      <alignment horizontal="center" vertical="center" wrapText="1"/>
    </xf>
    <xf numFmtId="0" fontId="0" fillId="0" borderId="0" xfId="0" applyAlignment="1">
      <alignment horizontal="center" vertical="center" wrapText="1"/>
    </xf>
    <xf numFmtId="0" fontId="0" fillId="0" borderId="90" xfId="0" applyBorder="1" applyAlignment="1">
      <alignment horizontal="center" vertical="center" wrapText="1"/>
    </xf>
    <xf numFmtId="179" fontId="22" fillId="0" borderId="85" xfId="1" applyNumberFormat="1" applyFont="1" applyBorder="1" applyAlignment="1">
      <alignment horizontal="center"/>
    </xf>
    <xf numFmtId="0" fontId="107" fillId="0" borderId="0" xfId="0" applyFont="1" applyAlignment="1">
      <alignment horizontal="left" vertical="center" wrapText="1"/>
    </xf>
    <xf numFmtId="0" fontId="27" fillId="9" borderId="50" xfId="0" applyFont="1" applyFill="1" applyBorder="1" applyAlignment="1">
      <alignment horizontal="center" vertical="center" wrapText="1"/>
    </xf>
    <xf numFmtId="0" fontId="27" fillId="9" borderId="51" xfId="0" applyFont="1" applyFill="1" applyBorder="1" applyAlignment="1">
      <alignment horizontal="center" vertical="center" wrapText="1"/>
    </xf>
    <xf numFmtId="0" fontId="66" fillId="0" borderId="92"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0" xfId="0" applyFont="1" applyAlignment="1">
      <alignment horizontal="center" vertical="center" wrapText="1"/>
    </xf>
    <xf numFmtId="0" fontId="66" fillId="0" borderId="96" xfId="0" applyFont="1" applyBorder="1" applyAlignment="1">
      <alignment horizontal="center" vertical="center" wrapText="1"/>
    </xf>
    <xf numFmtId="0" fontId="47" fillId="0" borderId="95" xfId="0" applyFont="1" applyBorder="1" applyAlignment="1">
      <alignment horizontal="center" vertical="center" wrapText="1"/>
    </xf>
    <xf numFmtId="0" fontId="47" fillId="0" borderId="96" xfId="0" applyFont="1" applyBorder="1" applyAlignment="1">
      <alignment horizontal="center" vertical="center" wrapText="1"/>
    </xf>
    <xf numFmtId="9" fontId="15" fillId="9" borderId="95" xfId="0" applyNumberFormat="1" applyFont="1" applyFill="1" applyBorder="1" applyAlignment="1">
      <alignment horizontal="center" vertical="center" wrapText="1"/>
    </xf>
    <xf numFmtId="9" fontId="15" fillId="9" borderId="0" xfId="0" applyNumberFormat="1" applyFont="1" applyFill="1" applyAlignment="1">
      <alignment horizontal="center" vertical="center" wrapText="1"/>
    </xf>
    <xf numFmtId="9" fontId="15" fillId="9" borderId="96" xfId="0" applyNumberFormat="1" applyFont="1" applyFill="1" applyBorder="1" applyAlignment="1">
      <alignment horizontal="center" vertical="center" wrapText="1"/>
    </xf>
    <xf numFmtId="0" fontId="47" fillId="9" borderId="95" xfId="0" applyFont="1" applyFill="1" applyBorder="1" applyAlignment="1">
      <alignment horizontal="center" vertical="center" wrapText="1"/>
    </xf>
    <xf numFmtId="0" fontId="47" fillId="9" borderId="0" xfId="0" applyFont="1" applyFill="1" applyAlignment="1">
      <alignment horizontal="center" vertical="center" wrapText="1"/>
    </xf>
    <xf numFmtId="0" fontId="47" fillId="9" borderId="96" xfId="0" applyFont="1" applyFill="1" applyBorder="1" applyAlignment="1">
      <alignment horizontal="center" vertical="center" wrapText="1"/>
    </xf>
    <xf numFmtId="9" fontId="15" fillId="9" borderId="97" xfId="0" applyNumberFormat="1" applyFont="1" applyFill="1" applyBorder="1" applyAlignment="1">
      <alignment horizontal="center" vertical="center" wrapText="1"/>
    </xf>
    <xf numFmtId="9" fontId="15" fillId="9" borderId="98" xfId="0" applyNumberFormat="1" applyFont="1" applyFill="1" applyBorder="1" applyAlignment="1">
      <alignment horizontal="center" vertical="center" wrapText="1"/>
    </xf>
    <xf numFmtId="9" fontId="15" fillId="9" borderId="99" xfId="0" applyNumberFormat="1" applyFont="1" applyFill="1" applyBorder="1" applyAlignment="1">
      <alignment horizontal="center" vertical="center" wrapText="1"/>
    </xf>
    <xf numFmtId="0" fontId="55" fillId="9" borderId="69" xfId="0" applyFont="1" applyFill="1" applyBorder="1" applyAlignment="1">
      <alignment horizontal="center" vertical="center"/>
    </xf>
    <xf numFmtId="0" fontId="75" fillId="10" borderId="4" xfId="0" applyFont="1" applyFill="1" applyBorder="1" applyAlignment="1">
      <alignment horizontal="center" vertical="center"/>
    </xf>
    <xf numFmtId="0" fontId="75" fillId="10" borderId="39" xfId="0" applyFont="1" applyFill="1" applyBorder="1" applyAlignment="1">
      <alignment horizontal="center" vertical="center"/>
    </xf>
    <xf numFmtId="0" fontId="80" fillId="3" borderId="2" xfId="0" applyFont="1" applyFill="1" applyBorder="1" applyAlignment="1">
      <alignment horizontal="right" vertical="center" wrapText="1" indent="1"/>
    </xf>
    <xf numFmtId="0" fontId="80" fillId="3" borderId="76" xfId="0" applyFont="1" applyFill="1" applyBorder="1" applyAlignment="1">
      <alignment horizontal="right" vertical="center" wrapText="1" indent="1"/>
    </xf>
    <xf numFmtId="0" fontId="80" fillId="3" borderId="1" xfId="0" applyFont="1" applyFill="1" applyBorder="1" applyAlignment="1">
      <alignment horizontal="right" vertical="center" wrapText="1" indent="1"/>
    </xf>
    <xf numFmtId="0" fontId="77" fillId="10" borderId="79" xfId="0" applyFont="1" applyFill="1" applyBorder="1" applyAlignment="1">
      <alignment horizontal="right" vertical="center" wrapText="1" indent="1"/>
    </xf>
    <xf numFmtId="0" fontId="77" fillId="10" borderId="32" xfId="0" applyFont="1" applyFill="1" applyBorder="1" applyAlignment="1">
      <alignment horizontal="right" vertical="center" wrapText="1" indent="1"/>
    </xf>
    <xf numFmtId="0" fontId="77" fillId="10" borderId="31" xfId="0" applyFont="1" applyFill="1" applyBorder="1" applyAlignment="1">
      <alignment horizontal="right" vertical="center" wrapText="1" indent="1"/>
    </xf>
    <xf numFmtId="0" fontId="77" fillId="10" borderId="80" xfId="0" applyFont="1" applyFill="1" applyBorder="1" applyAlignment="1">
      <alignment horizontal="right" vertical="center" wrapText="1" indent="1"/>
    </xf>
    <xf numFmtId="0" fontId="77" fillId="10" borderId="81" xfId="0" applyFont="1" applyFill="1" applyBorder="1" applyAlignment="1">
      <alignment horizontal="right" vertical="center" wrapText="1" indent="1"/>
    </xf>
    <xf numFmtId="0" fontId="77" fillId="10" borderId="82" xfId="0" applyFont="1" applyFill="1" applyBorder="1" applyAlignment="1">
      <alignment horizontal="right" vertical="center" wrapText="1" indent="1"/>
    </xf>
    <xf numFmtId="175" fontId="76" fillId="0" borderId="38" xfId="0" applyNumberFormat="1" applyFont="1" applyBorder="1" applyAlignment="1">
      <alignment horizontal="center" vertical="center"/>
    </xf>
    <xf numFmtId="175" fontId="76" fillId="0" borderId="18" xfId="0" applyNumberFormat="1" applyFont="1" applyBorder="1" applyAlignment="1">
      <alignment horizontal="center" vertical="center"/>
    </xf>
    <xf numFmtId="175" fontId="76" fillId="0" borderId="39" xfId="0" applyNumberFormat="1" applyFont="1" applyBorder="1" applyAlignment="1">
      <alignment horizontal="center" vertical="center"/>
    </xf>
    <xf numFmtId="0" fontId="80" fillId="3" borderId="2" xfId="0" applyFont="1" applyFill="1" applyBorder="1" applyAlignment="1">
      <alignment horizontal="right" vertical="center" indent="1"/>
    </xf>
    <xf numFmtId="0" fontId="80" fillId="3" borderId="76" xfId="0" applyFont="1" applyFill="1" applyBorder="1" applyAlignment="1">
      <alignment horizontal="right" vertical="center" indent="1"/>
    </xf>
    <xf numFmtId="175" fontId="76" fillId="3" borderId="38" xfId="0" applyNumberFormat="1" applyFont="1" applyFill="1" applyBorder="1" applyAlignment="1">
      <alignment horizontal="center" vertical="center"/>
    </xf>
    <xf numFmtId="175" fontId="76" fillId="3" borderId="18" xfId="0" applyNumberFormat="1" applyFont="1" applyFill="1" applyBorder="1" applyAlignment="1">
      <alignment horizontal="center" vertical="center"/>
    </xf>
    <xf numFmtId="175" fontId="76" fillId="3" borderId="39" xfId="0" applyNumberFormat="1" applyFont="1" applyFill="1" applyBorder="1" applyAlignment="1">
      <alignment horizontal="center" vertical="center"/>
    </xf>
    <xf numFmtId="175" fontId="76" fillId="8" borderId="46" xfId="0" applyNumberFormat="1" applyFont="1" applyFill="1" applyBorder="1" applyAlignment="1">
      <alignment horizontal="center" vertical="center"/>
    </xf>
    <xf numFmtId="175" fontId="76" fillId="8" borderId="47" xfId="0" applyNumberFormat="1" applyFont="1" applyFill="1" applyBorder="1" applyAlignment="1">
      <alignment horizontal="center" vertical="center"/>
    </xf>
    <xf numFmtId="175" fontId="76" fillId="8" borderId="48" xfId="0" applyNumberFormat="1" applyFont="1" applyFill="1" applyBorder="1" applyAlignment="1">
      <alignment horizontal="center" vertical="center"/>
    </xf>
    <xf numFmtId="169" fontId="77" fillId="10" borderId="38" xfId="0" applyNumberFormat="1" applyFont="1" applyFill="1" applyBorder="1" applyAlignment="1">
      <alignment horizontal="center" vertical="center"/>
    </xf>
    <xf numFmtId="169" fontId="77" fillId="10" borderId="18" xfId="0" applyNumberFormat="1" applyFont="1" applyFill="1" applyBorder="1" applyAlignment="1">
      <alignment horizontal="center" vertical="center"/>
    </xf>
    <xf numFmtId="169" fontId="77" fillId="10" borderId="3" xfId="0" applyNumberFormat="1" applyFont="1" applyFill="1" applyBorder="1" applyAlignment="1">
      <alignment horizontal="center" vertical="center"/>
    </xf>
    <xf numFmtId="175" fontId="76" fillId="0" borderId="44" xfId="0" applyNumberFormat="1" applyFont="1" applyBorder="1" applyAlignment="1">
      <alignment horizontal="center" vertical="center" wrapText="1"/>
    </xf>
    <xf numFmtId="175" fontId="76" fillId="0" borderId="15" xfId="0" applyNumberFormat="1" applyFont="1" applyBorder="1" applyAlignment="1">
      <alignment horizontal="center" vertical="center"/>
    </xf>
    <xf numFmtId="169" fontId="76" fillId="55" borderId="46" xfId="0" applyNumberFormat="1" applyFont="1" applyFill="1" applyBorder="1" applyAlignment="1">
      <alignment horizontal="center" vertical="center"/>
    </xf>
    <xf numFmtId="169" fontId="76" fillId="55" borderId="47" xfId="0" applyNumberFormat="1" applyFont="1" applyFill="1" applyBorder="1" applyAlignment="1">
      <alignment horizontal="center" vertical="center"/>
    </xf>
    <xf numFmtId="169" fontId="76" fillId="55" borderId="43" xfId="0" applyNumberFormat="1" applyFont="1" applyFill="1" applyBorder="1" applyAlignment="1">
      <alignment horizontal="center" vertical="center"/>
    </xf>
    <xf numFmtId="169" fontId="76" fillId="3" borderId="38" xfId="0" applyNumberFormat="1" applyFont="1" applyFill="1" applyBorder="1" applyAlignment="1">
      <alignment horizontal="center" vertical="center"/>
    </xf>
    <xf numFmtId="169" fontId="76" fillId="3" borderId="18" xfId="0" applyNumberFormat="1" applyFont="1" applyFill="1" applyBorder="1" applyAlignment="1">
      <alignment horizontal="center" vertical="center"/>
    </xf>
    <xf numFmtId="169" fontId="76" fillId="3" borderId="3" xfId="0" applyNumberFormat="1" applyFont="1" applyFill="1" applyBorder="1" applyAlignment="1">
      <alignment horizontal="center" vertical="center"/>
    </xf>
    <xf numFmtId="0" fontId="79" fillId="4" borderId="0" xfId="0" applyFont="1" applyFill="1" applyAlignment="1">
      <alignment horizontal="center" vertical="center"/>
    </xf>
    <xf numFmtId="169" fontId="78" fillId="53" borderId="2" xfId="0" applyNumberFormat="1" applyFont="1" applyFill="1" applyBorder="1" applyAlignment="1">
      <alignment horizontal="center" vertical="center" wrapText="1"/>
    </xf>
    <xf numFmtId="169" fontId="78" fillId="53" borderId="114" xfId="0" applyNumberFormat="1" applyFont="1" applyFill="1" applyBorder="1" applyAlignment="1">
      <alignment horizontal="center" vertical="center" wrapText="1"/>
    </xf>
    <xf numFmtId="175" fontId="78" fillId="3" borderId="38" xfId="0" applyNumberFormat="1" applyFont="1" applyFill="1" applyBorder="1" applyAlignment="1">
      <alignment horizontal="center" vertical="center"/>
    </xf>
    <xf numFmtId="175" fontId="78" fillId="3" borderId="18" xfId="0" applyNumberFormat="1" applyFont="1" applyFill="1" applyBorder="1" applyAlignment="1">
      <alignment horizontal="center" vertical="center"/>
    </xf>
    <xf numFmtId="175" fontId="78" fillId="3" borderId="39" xfId="0" applyNumberFormat="1" applyFont="1" applyFill="1" applyBorder="1" applyAlignment="1">
      <alignment horizontal="center" vertical="center"/>
    </xf>
    <xf numFmtId="175" fontId="76" fillId="8" borderId="35" xfId="0" applyNumberFormat="1" applyFont="1" applyFill="1" applyBorder="1" applyAlignment="1">
      <alignment horizontal="center" vertical="center"/>
    </xf>
    <xf numFmtId="175" fontId="76" fillId="8" borderId="45" xfId="0" applyNumberFormat="1" applyFont="1" applyFill="1" applyBorder="1" applyAlignment="1">
      <alignment horizontal="center" vertical="center"/>
    </xf>
    <xf numFmtId="175" fontId="78" fillId="3" borderId="45" xfId="0" applyNumberFormat="1" applyFont="1" applyFill="1" applyBorder="1" applyAlignment="1">
      <alignment horizontal="center" vertical="center"/>
    </xf>
    <xf numFmtId="175" fontId="78" fillId="3" borderId="35" xfId="0" applyNumberFormat="1" applyFont="1" applyFill="1" applyBorder="1" applyAlignment="1">
      <alignment horizontal="center" vertical="center"/>
    </xf>
    <xf numFmtId="169" fontId="76" fillId="8" borderId="46" xfId="0" applyNumberFormat="1" applyFont="1" applyFill="1" applyBorder="1" applyAlignment="1">
      <alignment horizontal="center" vertical="center"/>
    </xf>
    <xf numFmtId="169" fontId="76" fillId="8" borderId="47" xfId="0" applyNumberFormat="1" applyFont="1" applyFill="1" applyBorder="1" applyAlignment="1">
      <alignment horizontal="center" vertical="center"/>
    </xf>
    <xf numFmtId="169" fontId="76" fillId="8" borderId="43" xfId="0" applyNumberFormat="1" applyFont="1" applyFill="1" applyBorder="1" applyAlignment="1">
      <alignment horizontal="center" vertical="center"/>
    </xf>
    <xf numFmtId="175" fontId="78" fillId="3" borderId="44" xfId="0" applyNumberFormat="1" applyFont="1" applyFill="1" applyBorder="1" applyAlignment="1">
      <alignment horizontal="center" vertical="center"/>
    </xf>
    <xf numFmtId="0" fontId="22" fillId="0" borderId="1" xfId="0" applyFont="1" applyBorder="1" applyAlignment="1">
      <alignment horizontal="center"/>
    </xf>
    <xf numFmtId="0" fontId="0" fillId="9" borderId="2" xfId="0" applyFill="1" applyBorder="1" applyAlignment="1">
      <alignment horizontal="center" vertical="center"/>
    </xf>
    <xf numFmtId="0" fontId="0" fillId="9" borderId="114" xfId="0" applyFill="1" applyBorder="1" applyAlignment="1">
      <alignment horizontal="center" vertical="center"/>
    </xf>
    <xf numFmtId="0" fontId="22" fillId="0" borderId="1" xfId="0" applyFont="1" applyBorder="1" applyAlignment="1">
      <alignment horizontal="center" vertical="center" wrapText="1"/>
    </xf>
    <xf numFmtId="0" fontId="88" fillId="0" borderId="4" xfId="0" applyFont="1" applyBorder="1" applyAlignment="1">
      <alignment horizontal="center" vertical="center"/>
    </xf>
    <xf numFmtId="0" fontId="88" fillId="0" borderId="18" xfId="0" applyFont="1" applyBorder="1" applyAlignment="1">
      <alignment horizontal="center" vertical="center"/>
    </xf>
    <xf numFmtId="0" fontId="88" fillId="0" borderId="3" xfId="0" applyFont="1" applyBorder="1" applyAlignment="1">
      <alignment horizontal="center" vertical="center"/>
    </xf>
    <xf numFmtId="166" fontId="54" fillId="0" borderId="4" xfId="0" applyNumberFormat="1" applyFont="1" applyBorder="1" applyAlignment="1">
      <alignment horizontal="center" vertical="center"/>
    </xf>
    <xf numFmtId="166" fontId="54" fillId="0" borderId="18" xfId="0" applyNumberFormat="1" applyFont="1" applyBorder="1" applyAlignment="1">
      <alignment horizontal="center" vertical="center"/>
    </xf>
    <xf numFmtId="166" fontId="54" fillId="0" borderId="3" xfId="0" applyNumberFormat="1" applyFont="1" applyBorder="1" applyAlignment="1">
      <alignment horizontal="center" vertical="center"/>
    </xf>
    <xf numFmtId="0" fontId="0" fillId="9" borderId="8" xfId="0" applyFill="1" applyBorder="1" applyAlignment="1">
      <alignment horizontal="center"/>
    </xf>
    <xf numFmtId="0" fontId="0" fillId="9" borderId="34" xfId="0" applyFill="1" applyBorder="1" applyAlignment="1">
      <alignment horizontal="center"/>
    </xf>
    <xf numFmtId="0" fontId="0" fillId="9" borderId="7" xfId="0" applyFill="1" applyBorder="1" applyAlignment="1">
      <alignment horizontal="center"/>
    </xf>
    <xf numFmtId="0" fontId="0" fillId="9" borderId="19" xfId="0" applyFill="1" applyBorder="1" applyAlignment="1">
      <alignment horizontal="center"/>
    </xf>
    <xf numFmtId="0" fontId="0" fillId="9" borderId="0" xfId="0" applyFill="1" applyAlignment="1">
      <alignment horizontal="center"/>
    </xf>
    <xf numFmtId="0" fontId="0" fillId="9" borderId="30" xfId="0" applyFill="1" applyBorder="1" applyAlignment="1">
      <alignment horizontal="center"/>
    </xf>
    <xf numFmtId="0" fontId="0" fillId="9" borderId="6" xfId="0" applyFill="1" applyBorder="1" applyAlignment="1">
      <alignment horizontal="center"/>
    </xf>
    <xf numFmtId="0" fontId="0" fillId="9" borderId="35" xfId="0" applyFill="1" applyBorder="1" applyAlignment="1">
      <alignment horizontal="center"/>
    </xf>
    <xf numFmtId="0" fontId="0" fillId="9" borderId="5" xfId="0" applyFill="1" applyBorder="1" applyAlignment="1">
      <alignment horizontal="center"/>
    </xf>
    <xf numFmtId="0" fontId="88" fillId="9" borderId="4" xfId="0" applyFont="1" applyFill="1" applyBorder="1" applyAlignment="1">
      <alignment horizontal="center" vertical="center"/>
    </xf>
    <xf numFmtId="0" fontId="88" fillId="9" borderId="18" xfId="0" applyFont="1" applyFill="1" applyBorder="1" applyAlignment="1">
      <alignment horizontal="center" vertical="center"/>
    </xf>
    <xf numFmtId="0" fontId="88"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54" fillId="9" borderId="18" xfId="0" applyFont="1" applyFill="1" applyBorder="1" applyAlignment="1">
      <alignment horizontal="center" vertical="center"/>
    </xf>
    <xf numFmtId="0" fontId="54" fillId="9" borderId="3" xfId="0" applyFont="1" applyFill="1" applyBorder="1" applyAlignment="1">
      <alignment horizontal="center" vertical="center"/>
    </xf>
    <xf numFmtId="0" fontId="62" fillId="9" borderId="1" xfId="0" applyFont="1" applyFill="1" applyBorder="1" applyAlignment="1">
      <alignment horizontal="center" vertical="center" textRotation="90" wrapText="1"/>
    </xf>
    <xf numFmtId="0" fontId="89" fillId="9" borderId="4" xfId="0" applyFont="1" applyFill="1" applyBorder="1" applyAlignment="1">
      <alignment horizontal="center" vertical="center"/>
    </xf>
    <xf numFmtId="0" fontId="89" fillId="9" borderId="18" xfId="0" applyFont="1" applyFill="1" applyBorder="1" applyAlignment="1">
      <alignment horizontal="center" vertical="center"/>
    </xf>
    <xf numFmtId="0" fontId="89" fillId="9" borderId="3" xfId="0" applyFont="1" applyFill="1" applyBorder="1" applyAlignment="1">
      <alignment horizontal="center" vertical="center"/>
    </xf>
    <xf numFmtId="0" fontId="65" fillId="4" borderId="4" xfId="0" applyFont="1" applyFill="1" applyBorder="1" applyAlignment="1">
      <alignment horizontal="center"/>
    </xf>
    <xf numFmtId="0" fontId="65" fillId="4" borderId="18" xfId="0" applyFont="1" applyFill="1" applyBorder="1" applyAlignment="1">
      <alignment horizontal="center"/>
    </xf>
    <xf numFmtId="0" fontId="65" fillId="4" borderId="3" xfId="0" applyFont="1" applyFill="1" applyBorder="1" applyAlignment="1">
      <alignment horizontal="center"/>
    </xf>
    <xf numFmtId="0" fontId="61" fillId="49" borderId="0" xfId="0" applyFont="1" applyFill="1" applyAlignment="1">
      <alignment horizontal="center" vertical="center" wrapText="1"/>
    </xf>
    <xf numFmtId="0" fontId="58" fillId="9" borderId="1" xfId="0" applyFont="1" applyFill="1" applyBorder="1" applyAlignment="1">
      <alignment horizontal="center" vertical="center" textRotation="90" wrapText="1"/>
    </xf>
    <xf numFmtId="0" fontId="58" fillId="9" borderId="1" xfId="0" applyFont="1" applyFill="1" applyBorder="1" applyAlignment="1">
      <alignment horizontal="center" vertical="center" textRotation="90"/>
    </xf>
  </cellXfs>
  <cellStyles count="52">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 name="Обычный_CRF2002 (1)" xfId="51" xr:uid="{36222820-597D-4F35-A9D9-659EA5EFA4E9}"/>
  </cellStyles>
  <dxfs count="47">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strike val="0"/>
        <u val="none"/>
        <color theme="0" tint="-0.34998626667073579"/>
      </font>
      <fill>
        <patternFill>
          <fgColor theme="0" tint="-0.499984740745262"/>
          <bgColor theme="0" tint="-0.34998626667073579"/>
        </patternFill>
      </fill>
      <border>
        <top style="thin">
          <color theme="0" tint="-0.499984740745262"/>
        </top>
        <bottom style="thin">
          <color theme="0" tint="-0.499984740745262"/>
        </bottom>
      </border>
    </dxf>
    <dxf>
      <font>
        <strike val="0"/>
        <u val="none"/>
        <color theme="0" tint="-0.34998626667073579"/>
      </font>
      <fill>
        <patternFill>
          <fgColor theme="0" tint="-0.499984740745262"/>
          <bgColor theme="0" tint="-0.34998626667073579"/>
        </patternFill>
      </fill>
      <border>
        <top style="thin">
          <color theme="0" tint="-0.499984740745262"/>
        </top>
        <bottom style="thin">
          <color theme="0" tint="-0.499984740745262"/>
        </bottom>
      </border>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u val="none"/>
        <color theme="0" tint="-0.34998626667073579"/>
      </font>
      <fill>
        <patternFill>
          <fgColor theme="0" tint="-0.499984740745262"/>
          <bgColor theme="0" tint="-0.34998626667073579"/>
        </patternFill>
      </fill>
      <border>
        <top style="thin">
          <color theme="0" tint="-0.499984740745262"/>
        </top>
        <bottom style="thin">
          <color theme="0" tint="-0.499984740745262"/>
        </bottom>
      </border>
    </dxf>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right/>
        <top/>
        <bottom/>
        <vertical/>
        <horizontal/>
      </border>
    </dxf>
    <dxf>
      <font>
        <color theme="1"/>
      </font>
      <fill>
        <patternFill>
          <bgColor theme="0"/>
        </patternFill>
      </fill>
    </dxf>
    <dxf>
      <font>
        <color theme="1"/>
      </font>
      <fill>
        <patternFill>
          <bgColor theme="0"/>
        </patternFill>
      </fill>
    </dxf>
    <dxf>
      <font>
        <color theme="0" tint="-0.34998626667073579"/>
      </font>
      <fill>
        <patternFill>
          <bgColor theme="0" tint="-0.34998626667073579"/>
        </patternFill>
      </fill>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(Ziņojums!$E$16,Ziņojums!$E$22)</c:f>
              <c:numCache>
                <c:formatCode>#\ ##0.0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Ziņojums!$B$17:$B$20</c:f>
              <c:strCache>
                <c:ptCount val="4"/>
                <c:pt idx="0">
                  <c:v>Stacionārās emisijas</c:v>
                </c:pt>
                <c:pt idx="1">
                  <c:v>Nestacionārās emisijas</c:v>
                </c:pt>
                <c:pt idx="2">
                  <c:v>Difūzās emisijas</c:v>
                </c:pt>
                <c:pt idx="3">
                  <c:v>Biogēnās emisijas</c:v>
                </c:pt>
              </c:strCache>
            </c:strRef>
          </c:cat>
          <c:val>
            <c:numRef>
              <c:f>Ziņojums!$E$17:$E$20</c:f>
              <c:numCache>
                <c:formatCode>#\ ##0.0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Ziņojums!$B$23:$B$24</c:f>
              <c:strCache>
                <c:ptCount val="2"/>
                <c:pt idx="0">
                  <c:v>Elektrība</c:v>
                </c:pt>
                <c:pt idx="1">
                  <c:v>Apkures/dzesēšanas enerģija</c:v>
                </c:pt>
              </c:strCache>
            </c:strRef>
          </c:cat>
          <c:val>
            <c:numRef>
              <c:f>Ziņojums!$E$23:$E$24</c:f>
              <c:numCache>
                <c:formatCode>#\ ##0.0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separator>, </cx:separator>
          </cx:dataLabels>
          <cx:dataId val="0"/>
          <cx:layoutPr>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1.xml"/><Relationship Id="rId3" Type="http://schemas.openxmlformats.org/officeDocument/2006/relationships/image" Target="../media/image3.png"/><Relationship Id="rId7" Type="http://schemas.openxmlformats.org/officeDocument/2006/relationships/chart" Target="../charts/chart3.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10" Type="http://schemas.openxmlformats.org/officeDocument/2006/relationships/image" Target="../media/image6.svg"/><Relationship Id="rId4" Type="http://schemas.openxmlformats.org/officeDocument/2006/relationships/image" Target="../media/image4.sv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226799</xdr:colOff>
      <xdr:row>9</xdr:row>
      <xdr:rowOff>189859</xdr:rowOff>
    </xdr:from>
    <xdr:to>
      <xdr:col>4</xdr:col>
      <xdr:colOff>122608</xdr:colOff>
      <xdr:row>12</xdr:row>
      <xdr:rowOff>103126</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2966" y="1650359"/>
          <a:ext cx="496166" cy="530416"/>
        </a:xfrm>
        <a:prstGeom prst="rect">
          <a:avLst/>
        </a:prstGeom>
      </xdr:spPr>
    </xdr:pic>
    <xdr:clientData/>
  </xdr:twoCellAnchor>
  <xdr:twoCellAnchor editAs="oneCell">
    <xdr:from>
      <xdr:col>6</xdr:col>
      <xdr:colOff>179600</xdr:colOff>
      <xdr:row>9</xdr:row>
      <xdr:rowOff>90376</xdr:rowOff>
    </xdr:from>
    <xdr:to>
      <xdr:col>7</xdr:col>
      <xdr:colOff>236691</xdr:colOff>
      <xdr:row>12</xdr:row>
      <xdr:rowOff>144080</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45767" y="1550876"/>
          <a:ext cx="664503" cy="670853"/>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224579</xdr:colOff>
      <xdr:row>44</xdr:row>
      <xdr:rowOff>107314</xdr:rowOff>
    </xdr:from>
    <xdr:ext cx="1263872"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53179" y="9996381"/>
          <a:ext cx="1263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tx1"/>
              </a:solidFill>
              <a:effectLst/>
              <a:latin typeface="+mn-lt"/>
              <a:ea typeface="+mn-ea"/>
              <a:cs typeface="+mn-cs"/>
            </a:rPr>
            <a:t>1</a:t>
          </a:r>
          <a:r>
            <a:rPr lang="en-US" sz="1100">
              <a:solidFill>
                <a:schemeClr val="tx1"/>
              </a:solidFill>
              <a:effectLst/>
              <a:latin typeface="+mn-lt"/>
              <a:ea typeface="+mn-ea"/>
              <a:cs typeface="+mn-cs"/>
            </a:rPr>
            <a:t> tvēruma emisijās</a:t>
          </a:r>
          <a:endParaRPr lang="en-US">
            <a:effectLst/>
          </a:endParaRPr>
        </a:p>
      </xdr:txBody>
    </xdr:sp>
    <xdr:clientData/>
  </xdr:oneCellAnchor>
  <xdr:oneCellAnchor>
    <xdr:from>
      <xdr:col>3</xdr:col>
      <xdr:colOff>220986</xdr:colOff>
      <xdr:row>44</xdr:row>
      <xdr:rowOff>110488</xdr:rowOff>
    </xdr:from>
    <xdr:ext cx="1295739"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066719" y="9999555"/>
          <a:ext cx="129573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l-PL" sz="1100"/>
            <a:t>2</a:t>
          </a:r>
          <a:r>
            <a:rPr lang="en-US" sz="1100"/>
            <a:t> </a:t>
          </a:r>
          <a:r>
            <a:rPr lang="en-US" sz="1100">
              <a:solidFill>
                <a:schemeClr val="tx1"/>
              </a:solidFill>
              <a:effectLst/>
              <a:latin typeface="+mn-lt"/>
              <a:ea typeface="+mn-ea"/>
              <a:cs typeface="+mn-cs"/>
            </a:rPr>
            <a:t>tvēruma emisijās</a:t>
          </a:r>
          <a:endParaRPr lang="en-US">
            <a:effectLst/>
          </a:endParaRPr>
        </a:p>
      </xdr:txBody>
    </xdr:sp>
    <xdr:clientData/>
  </xdr:oneCellAnchor>
  <xdr:twoCellAnchor>
    <xdr:from>
      <xdr:col>3</xdr:col>
      <xdr:colOff>123620</xdr:colOff>
      <xdr:row>44</xdr:row>
      <xdr:rowOff>187534</xdr:rowOff>
    </xdr:from>
    <xdr:to>
      <xdr:col>3</xdr:col>
      <xdr:colOff>256970</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1969353" y="10076601"/>
          <a:ext cx="133350" cy="125730"/>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4523317" y="10669056"/>
              <a:ext cx="4398433" cy="1758952"/>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0</xdr:colOff>
      <xdr:row>10</xdr:row>
      <xdr:rowOff>0</xdr:rowOff>
    </xdr:from>
    <xdr:to>
      <xdr:col>9</xdr:col>
      <xdr:colOff>483235</xdr:colOff>
      <xdr:row>12</xdr:row>
      <xdr:rowOff>66533</xdr:rowOff>
    </xdr:to>
    <xdr:pic>
      <xdr:nvPicPr>
        <xdr:cNvPr id="2" name="Graphic 1" descr="Earth globe: Africa and Europe with solid fill">
          <a:extLst>
            <a:ext uri="{FF2B5EF4-FFF2-40B4-BE49-F238E27FC236}">
              <a16:creationId xmlns:a16="http://schemas.microsoft.com/office/drawing/2014/main" id="{6F7A854B-8FD4-4299-B12B-1C1CA62C7C0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31000" y="1651000"/>
          <a:ext cx="482600" cy="493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nancelatvia.eu/wp-content/uploads/2024/05/SEG-emisiju-kalkulators-VADLINIJAS_LV.pdf" TargetMode="External"/><Relationship Id="rId1" Type="http://schemas.openxmlformats.org/officeDocument/2006/relationships/hyperlink" Target="https://www.youtube.com/watch?v=o70i8XQvZW0&amp;feature=youtu.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kasvuhoonegaasid.ee/" TargetMode="External"/><Relationship Id="rId2" Type="http://schemas.openxmlformats.org/officeDocument/2006/relationships/hyperlink" Target="https://kasvuhoonegaasid.ee/" TargetMode="External"/><Relationship Id="rId1" Type="http://schemas.openxmlformats.org/officeDocument/2006/relationships/hyperlink" Target="https://environment.govt.nz/assets/publications/Measuring-Emissions-Guidance_DetailedGuide_2023_ME1764.pdf" TargetMode="External"/><Relationship Id="rId6" Type="http://schemas.openxmlformats.org/officeDocument/2006/relationships/printerSettings" Target="../printerSettings/printerSettings8.bin"/><Relationship Id="rId5" Type="http://schemas.openxmlformats.org/officeDocument/2006/relationships/hyperlink" Target="https://kasvuhoonegaasid.ee/" TargetMode="External"/><Relationship Id="rId4" Type="http://schemas.openxmlformats.org/officeDocument/2006/relationships/hyperlink" Target="https://kasvuhoonegaasid.e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sheetPr>
    <tabColor theme="4" tint="0.79998168889431442"/>
  </sheetPr>
  <dimension ref="A1:L24"/>
  <sheetViews>
    <sheetView showGridLines="0" tabSelected="1" zoomScale="90" zoomScaleNormal="90" workbookViewId="0">
      <selection activeCell="K20" sqref="K20"/>
    </sheetView>
  </sheetViews>
  <sheetFormatPr defaultColWidth="0" defaultRowHeight="14.5" zeroHeight="1" x14ac:dyDescent="0.35"/>
  <cols>
    <col min="1" max="1" width="3.453125" customWidth="1"/>
    <col min="2" max="2" width="12.453125" customWidth="1"/>
    <col min="3" max="11" width="8.7265625" customWidth="1"/>
    <col min="12" max="12" width="3.453125" customWidth="1"/>
    <col min="13" max="16384" width="8.7265625" hidden="1"/>
  </cols>
  <sheetData>
    <row r="1" spans="2:11" x14ac:dyDescent="0.35"/>
    <row r="2" spans="2:11" ht="6" customHeight="1" x14ac:dyDescent="0.35">
      <c r="B2" s="10"/>
      <c r="C2" s="10"/>
      <c r="D2" s="10"/>
      <c r="E2" s="10"/>
      <c r="F2" s="10"/>
      <c r="G2" s="10"/>
      <c r="H2" s="10"/>
      <c r="I2" s="10"/>
      <c r="J2" s="10"/>
      <c r="K2" s="10"/>
    </row>
    <row r="3" spans="2:11" ht="6" customHeight="1" x14ac:dyDescent="0.35">
      <c r="B3" s="11"/>
      <c r="C3" s="11"/>
      <c r="D3" s="11"/>
      <c r="E3" s="11"/>
      <c r="F3" s="11"/>
      <c r="G3" s="11"/>
      <c r="H3" s="11"/>
      <c r="I3" s="11"/>
      <c r="J3" s="11"/>
      <c r="K3" s="11"/>
    </row>
    <row r="4" spans="2:11" x14ac:dyDescent="0.35">
      <c r="B4" s="13"/>
      <c r="C4" s="13"/>
      <c r="D4" s="13"/>
      <c r="E4" s="13"/>
      <c r="F4" s="13"/>
      <c r="G4" s="13"/>
      <c r="H4" s="13"/>
      <c r="I4" s="13"/>
      <c r="J4" s="13"/>
      <c r="K4" s="13"/>
    </row>
    <row r="5" spans="2:11" ht="15.5" x14ac:dyDescent="0.35">
      <c r="B5" s="322" t="s">
        <v>0</v>
      </c>
      <c r="C5" s="323"/>
      <c r="D5" s="323"/>
      <c r="E5" s="323"/>
      <c r="F5" s="323"/>
      <c r="G5" s="323"/>
      <c r="H5" s="323"/>
      <c r="I5" s="323"/>
      <c r="J5" s="323"/>
      <c r="K5" s="323"/>
    </row>
    <row r="6" spans="2:11" ht="11.5" customHeight="1" x14ac:dyDescent="0.35">
      <c r="B6" s="323"/>
      <c r="C6" s="323"/>
      <c r="D6" s="323"/>
      <c r="E6" s="323"/>
      <c r="F6" s="323"/>
      <c r="G6" s="323"/>
      <c r="H6" s="323"/>
      <c r="I6" s="323"/>
      <c r="J6" s="323"/>
      <c r="K6" s="323"/>
    </row>
    <row r="7" spans="2:11" ht="72.650000000000006" customHeight="1" x14ac:dyDescent="0.35">
      <c r="B7" s="424" t="s">
        <v>1</v>
      </c>
      <c r="C7" s="424"/>
      <c r="D7" s="424"/>
      <c r="E7" s="424"/>
      <c r="F7" s="424"/>
      <c r="G7" s="424"/>
      <c r="H7" s="424"/>
      <c r="I7" s="424"/>
      <c r="J7" s="424"/>
      <c r="K7" s="424"/>
    </row>
    <row r="8" spans="2:11" x14ac:dyDescent="0.35">
      <c r="B8" s="424"/>
      <c r="C8" s="424"/>
      <c r="D8" s="424"/>
      <c r="E8" s="424"/>
      <c r="F8" s="424"/>
      <c r="G8" s="424"/>
      <c r="H8" s="424"/>
      <c r="I8" s="424"/>
      <c r="J8" s="424"/>
      <c r="K8" s="424"/>
    </row>
    <row r="9" spans="2:11" ht="58" customHeight="1" x14ac:dyDescent="0.35">
      <c r="B9" s="424"/>
      <c r="C9" s="424"/>
      <c r="D9" s="424"/>
      <c r="E9" s="424"/>
      <c r="F9" s="424"/>
      <c r="G9" s="424"/>
      <c r="H9" s="424"/>
      <c r="I9" s="424"/>
      <c r="J9" s="424"/>
      <c r="K9" s="424"/>
    </row>
    <row r="10" spans="2:11" x14ac:dyDescent="0.35">
      <c r="B10" s="424"/>
      <c r="C10" s="424"/>
      <c r="D10" s="424"/>
      <c r="E10" s="424"/>
      <c r="F10" s="424"/>
      <c r="G10" s="424"/>
      <c r="H10" s="424"/>
      <c r="I10" s="424"/>
      <c r="J10" s="424"/>
      <c r="K10" s="424"/>
    </row>
    <row r="11" spans="2:11" ht="43.5" customHeight="1" x14ac:dyDescent="0.35">
      <c r="B11" s="424"/>
      <c r="C11" s="424"/>
      <c r="D11" s="424"/>
      <c r="E11" s="424"/>
      <c r="F11" s="424"/>
      <c r="G11" s="424"/>
      <c r="H11" s="424"/>
      <c r="I11" s="424"/>
      <c r="J11" s="424"/>
      <c r="K11" s="424"/>
    </row>
    <row r="12" spans="2:11" ht="43.5" customHeight="1" x14ac:dyDescent="0.35">
      <c r="B12" s="424"/>
      <c r="C12" s="424"/>
      <c r="D12" s="424"/>
      <c r="E12" s="424"/>
      <c r="F12" s="424"/>
      <c r="G12" s="424"/>
      <c r="H12" s="424"/>
      <c r="I12" s="424"/>
      <c r="J12" s="424"/>
      <c r="K12" s="424"/>
    </row>
    <row r="13" spans="2:11" x14ac:dyDescent="0.35">
      <c r="B13" s="424"/>
      <c r="C13" s="424"/>
      <c r="D13" s="424"/>
      <c r="E13" s="424"/>
      <c r="F13" s="424"/>
      <c r="G13" s="424"/>
      <c r="H13" s="424"/>
      <c r="I13" s="424"/>
      <c r="J13" s="424"/>
      <c r="K13" s="424"/>
    </row>
    <row r="14" spans="2:11" x14ac:dyDescent="0.35">
      <c r="B14" s="339"/>
      <c r="C14" s="339"/>
      <c r="D14" s="339"/>
      <c r="E14" s="339"/>
      <c r="F14" s="339"/>
      <c r="G14" s="339"/>
      <c r="H14" s="339"/>
      <c r="I14" s="339"/>
      <c r="J14" s="339"/>
      <c r="K14" s="339"/>
    </row>
    <row r="15" spans="2:11" x14ac:dyDescent="0.35">
      <c r="B15" s="323" t="s">
        <v>2</v>
      </c>
      <c r="C15" s="324"/>
      <c r="D15" s="324"/>
      <c r="E15" s="324"/>
      <c r="F15" s="324"/>
      <c r="G15" s="324"/>
      <c r="H15" s="324"/>
      <c r="I15" s="324"/>
      <c r="J15" s="324"/>
      <c r="K15" s="324"/>
    </row>
    <row r="16" spans="2:11" x14ac:dyDescent="0.35">
      <c r="B16" s="385" t="s">
        <v>3</v>
      </c>
      <c r="C16" s="384" t="s">
        <v>4</v>
      </c>
      <c r="D16" s="323"/>
      <c r="E16" s="323"/>
      <c r="F16" s="323"/>
      <c r="G16" s="323"/>
      <c r="H16" s="323"/>
      <c r="I16" s="323"/>
      <c r="J16" s="323"/>
      <c r="K16" s="323"/>
    </row>
    <row r="17" spans="2:11" x14ac:dyDescent="0.35">
      <c r="B17" s="385" t="s">
        <v>5</v>
      </c>
      <c r="C17" s="384" t="s">
        <v>6</v>
      </c>
      <c r="D17" s="323"/>
      <c r="E17" s="323"/>
      <c r="F17" s="323"/>
      <c r="G17" s="323"/>
      <c r="H17" s="323"/>
      <c r="I17" s="323"/>
      <c r="J17" s="323"/>
      <c r="K17" s="323"/>
    </row>
    <row r="18" spans="2:11" x14ac:dyDescent="0.35">
      <c r="B18" s="323"/>
      <c r="C18" s="323"/>
      <c r="D18" s="323"/>
      <c r="E18" s="323"/>
      <c r="F18" s="323"/>
      <c r="G18" s="323"/>
      <c r="H18" s="323"/>
      <c r="I18" s="323"/>
      <c r="J18" s="323"/>
      <c r="K18" s="323"/>
    </row>
    <row r="19" spans="2:11" x14ac:dyDescent="0.35">
      <c r="B19" s="323"/>
      <c r="C19" s="323"/>
      <c r="D19" s="323"/>
      <c r="E19" s="323"/>
      <c r="F19" s="323"/>
      <c r="G19" s="323"/>
      <c r="H19" s="323"/>
      <c r="I19" s="323"/>
      <c r="J19" s="323"/>
      <c r="K19" s="323"/>
    </row>
    <row r="20" spans="2:11" x14ac:dyDescent="0.35">
      <c r="B20" s="323"/>
      <c r="C20" s="323"/>
      <c r="D20" s="323"/>
      <c r="E20" s="323"/>
      <c r="F20" s="323"/>
      <c r="G20" s="323"/>
      <c r="H20" s="323"/>
      <c r="I20" s="323"/>
      <c r="J20" s="323"/>
      <c r="K20" s="323"/>
    </row>
    <row r="21" spans="2:11" x14ac:dyDescent="0.35">
      <c r="B21" s="13"/>
      <c r="C21" s="323"/>
      <c r="D21" s="323"/>
      <c r="E21" s="323"/>
      <c r="F21" s="323"/>
      <c r="G21" s="323"/>
      <c r="H21" s="323"/>
      <c r="I21" s="323"/>
      <c r="J21" s="323"/>
      <c r="K21" s="323"/>
    </row>
    <row r="22" spans="2:11" ht="6" customHeight="1" x14ac:dyDescent="0.35">
      <c r="B22" s="11"/>
      <c r="C22" s="11"/>
      <c r="D22" s="11"/>
      <c r="E22" s="11"/>
      <c r="F22" s="11"/>
      <c r="G22" s="11"/>
      <c r="H22" s="11"/>
      <c r="I22" s="11"/>
      <c r="J22" s="11"/>
      <c r="K22" s="11"/>
    </row>
    <row r="23" spans="2:11" ht="6" customHeight="1" x14ac:dyDescent="0.35">
      <c r="B23" s="10"/>
      <c r="C23" s="10"/>
      <c r="D23" s="10"/>
      <c r="E23" s="10"/>
      <c r="F23" s="10"/>
      <c r="G23" s="10"/>
      <c r="H23" s="10"/>
      <c r="I23" s="10"/>
      <c r="J23" s="10"/>
      <c r="K23" s="10"/>
    </row>
    <row r="24" spans="2:11" x14ac:dyDescent="0.35"/>
  </sheetData>
  <sheetProtection algorithmName="SHA-512" hashValue="sumKGD1JwWYKsr4Li+ceBMKItnSnSeDwbcetRbs9y9LJEFf41PHw5p8roG6NDbSIJWWqJi4tILhtnf9zpGvDHg==" saltValue="/uNqEYRdZYpGLw2aMbeIYg==" spinCount="100000" sheet="1" selectLockedCells="1" selectUnlockedCells="1"/>
  <protectedRanges>
    <protectedRange sqref="B19:B21" name="Range1"/>
  </protectedRanges>
  <mergeCells count="1">
    <mergeCell ref="B7:K13"/>
  </mergeCells>
  <hyperlinks>
    <hyperlink ref="C16" r:id="rId1" xr:uid="{0F735305-300A-4951-9B22-79FEBEDC9326}"/>
    <hyperlink ref="C17" r:id="rId2" xr:uid="{3DB13112-CA79-43B0-9EDF-98B30A6E4106}"/>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sheetPr>
    <tabColor theme="4" tint="0.79998168889431442"/>
  </sheetPr>
  <dimension ref="A1:S44"/>
  <sheetViews>
    <sheetView showGridLines="0" zoomScale="110" zoomScaleNormal="110" workbookViewId="0">
      <selection activeCell="H30" sqref="H30:J30"/>
    </sheetView>
  </sheetViews>
  <sheetFormatPr defaultColWidth="0" defaultRowHeight="14.5" zeroHeight="1" x14ac:dyDescent="0.35"/>
  <cols>
    <col min="1" max="1" width="4.1796875" style="60" customWidth="1"/>
    <col min="2" max="5" width="11.54296875" style="60" customWidth="1"/>
    <col min="6" max="6" width="11.54296875" style="27" customWidth="1"/>
    <col min="7" max="7" width="14.54296875" style="60" customWidth="1"/>
    <col min="8" max="11" width="8.7265625" style="60" customWidth="1"/>
    <col min="12" max="12" width="3.54296875" style="60" customWidth="1"/>
    <col min="13" max="17" width="8.7265625" style="60" hidden="1" customWidth="1"/>
    <col min="18" max="18" width="70" style="60" hidden="1" customWidth="1"/>
    <col min="19" max="16384" width="8.7265625" style="60" hidden="1"/>
  </cols>
  <sheetData>
    <row r="1" spans="2:19" x14ac:dyDescent="0.35">
      <c r="O1" s="27">
        <v>2020</v>
      </c>
      <c r="P1" s="27" t="s">
        <v>7</v>
      </c>
      <c r="Q1" s="6" t="s">
        <v>8</v>
      </c>
      <c r="R1" s="60" t="s">
        <v>9</v>
      </c>
      <c r="S1" s="6" t="s">
        <v>8</v>
      </c>
    </row>
    <row r="2" spans="2:19" ht="6" customHeight="1" x14ac:dyDescent="0.35">
      <c r="B2" s="138"/>
      <c r="C2" s="138"/>
      <c r="D2" s="138"/>
      <c r="E2" s="138"/>
      <c r="F2" s="45"/>
      <c r="G2" s="138"/>
      <c r="H2" s="138"/>
      <c r="I2" s="138"/>
      <c r="J2" s="138"/>
      <c r="K2" s="138"/>
      <c r="O2" s="27">
        <v>2021</v>
      </c>
      <c r="P2" s="27" t="s">
        <v>10</v>
      </c>
      <c r="Q2" s="6" t="s">
        <v>11</v>
      </c>
      <c r="R2" s="60" t="s">
        <v>12</v>
      </c>
      <c r="S2" s="6" t="s">
        <v>11</v>
      </c>
    </row>
    <row r="3" spans="2:19" ht="6" customHeight="1" x14ac:dyDescent="0.35">
      <c r="B3" s="139"/>
      <c r="C3" s="139"/>
      <c r="D3" s="139"/>
      <c r="E3" s="139"/>
      <c r="F3" s="51"/>
      <c r="G3" s="139"/>
      <c r="H3" s="139"/>
      <c r="I3" s="139"/>
      <c r="J3" s="139"/>
      <c r="K3" s="139"/>
      <c r="O3" s="27">
        <v>2022</v>
      </c>
      <c r="P3" s="27" t="s">
        <v>13</v>
      </c>
      <c r="Q3" s="27"/>
      <c r="R3" s="60" t="s">
        <v>14</v>
      </c>
      <c r="S3" s="27" t="s">
        <v>15</v>
      </c>
    </row>
    <row r="4" spans="2:19" ht="11.15" customHeight="1" x14ac:dyDescent="0.35">
      <c r="B4" s="140"/>
      <c r="C4" s="140"/>
      <c r="D4" s="140"/>
      <c r="E4" s="140"/>
      <c r="F4" s="53"/>
      <c r="G4" s="140"/>
      <c r="H4" s="140"/>
      <c r="I4" s="140"/>
      <c r="J4" s="140"/>
      <c r="K4" s="140"/>
      <c r="O4" s="27">
        <v>2023</v>
      </c>
      <c r="P4" s="27"/>
      <c r="Q4" s="27"/>
      <c r="R4" s="60" t="s">
        <v>16</v>
      </c>
      <c r="S4" s="27" t="s">
        <v>17</v>
      </c>
    </row>
    <row r="5" spans="2:19" ht="22" customHeight="1" x14ac:dyDescent="0.35">
      <c r="B5" s="144" t="s">
        <v>18</v>
      </c>
      <c r="C5" s="140"/>
      <c r="D5" s="140"/>
      <c r="E5" s="140"/>
      <c r="F5" s="53"/>
      <c r="G5" s="140"/>
      <c r="H5" s="140"/>
      <c r="I5" s="140"/>
      <c r="J5" s="140"/>
      <c r="K5" s="140"/>
      <c r="O5" s="27">
        <v>2024</v>
      </c>
      <c r="P5" s="27"/>
      <c r="Q5" s="27"/>
      <c r="R5" s="60" t="s">
        <v>19</v>
      </c>
    </row>
    <row r="6" spans="2:19" ht="22" customHeight="1" x14ac:dyDescent="0.35">
      <c r="B6" s="143" t="s">
        <v>20</v>
      </c>
      <c r="C6" s="140"/>
      <c r="D6" s="140"/>
      <c r="E6" s="140"/>
      <c r="F6" s="53"/>
      <c r="G6" s="140"/>
      <c r="H6" s="140"/>
      <c r="I6" s="140"/>
      <c r="J6" s="140"/>
      <c r="K6" s="140"/>
      <c r="O6" s="27"/>
      <c r="P6" s="27"/>
      <c r="Q6" s="27"/>
      <c r="R6" s="60" t="s">
        <v>21</v>
      </c>
    </row>
    <row r="7" spans="2:19" ht="11.15" customHeight="1" x14ac:dyDescent="0.35">
      <c r="B7" s="140"/>
      <c r="C7" s="140"/>
      <c r="D7" s="140"/>
      <c r="E7" s="140"/>
      <c r="F7" s="53"/>
      <c r="G7" s="140"/>
      <c r="H7" s="140"/>
      <c r="I7" s="140"/>
      <c r="J7" s="140"/>
      <c r="K7" s="140"/>
      <c r="R7" s="60" t="s">
        <v>22</v>
      </c>
    </row>
    <row r="8" spans="2:19" ht="22" customHeight="1" x14ac:dyDescent="0.35">
      <c r="B8" s="143" t="s">
        <v>23</v>
      </c>
      <c r="C8" s="340"/>
      <c r="D8" s="140"/>
      <c r="E8" s="140"/>
      <c r="F8" s="425"/>
      <c r="G8" s="425"/>
      <c r="H8" s="425"/>
      <c r="I8" s="425"/>
      <c r="J8" s="425"/>
      <c r="K8" s="140"/>
      <c r="R8" s="60" t="s">
        <v>24</v>
      </c>
    </row>
    <row r="9" spans="2:19" ht="11.15" customHeight="1" x14ac:dyDescent="0.35">
      <c r="B9" s="340"/>
      <c r="C9" s="340"/>
      <c r="D9" s="140"/>
      <c r="E9" s="140"/>
      <c r="F9" s="53"/>
      <c r="G9" s="140"/>
      <c r="H9" s="140"/>
      <c r="I9" s="140"/>
      <c r="J9" s="140"/>
      <c r="K9" s="140"/>
      <c r="R9" s="60" t="s">
        <v>25</v>
      </c>
    </row>
    <row r="10" spans="2:19" ht="22" customHeight="1" x14ac:dyDescent="0.35">
      <c r="B10" s="143" t="s">
        <v>26</v>
      </c>
      <c r="C10" s="340"/>
      <c r="D10" s="140"/>
      <c r="E10" s="140"/>
      <c r="F10" s="142"/>
      <c r="G10" s="143"/>
      <c r="H10" s="143"/>
      <c r="I10" s="143"/>
      <c r="J10" s="143"/>
      <c r="K10" s="140"/>
      <c r="R10" s="60" t="s">
        <v>27</v>
      </c>
    </row>
    <row r="11" spans="2:19" ht="11.15" customHeight="1" x14ac:dyDescent="0.35">
      <c r="B11" s="340"/>
      <c r="C11" s="340"/>
      <c r="D11" s="140"/>
      <c r="E11" s="140"/>
      <c r="F11" s="143"/>
      <c r="G11" s="143"/>
      <c r="H11" s="143"/>
      <c r="I11" s="143"/>
      <c r="J11" s="143"/>
      <c r="K11" s="140"/>
      <c r="R11" s="60" t="s">
        <v>28</v>
      </c>
    </row>
    <row r="12" spans="2:19" ht="22" customHeight="1" x14ac:dyDescent="0.35">
      <c r="B12" s="143" t="s">
        <v>29</v>
      </c>
      <c r="C12" s="340"/>
      <c r="D12" s="140"/>
      <c r="E12" s="140"/>
      <c r="F12" s="142"/>
      <c r="G12" s="143"/>
      <c r="H12" s="143"/>
      <c r="I12" s="143"/>
      <c r="J12" s="143"/>
      <c r="K12" s="140"/>
      <c r="R12" s="60" t="s">
        <v>30</v>
      </c>
    </row>
    <row r="13" spans="2:19" ht="11.15" customHeight="1" x14ac:dyDescent="0.35">
      <c r="B13" s="340"/>
      <c r="C13" s="340"/>
      <c r="D13" s="140"/>
      <c r="E13" s="140"/>
      <c r="F13" s="143"/>
      <c r="G13" s="143"/>
      <c r="H13" s="143"/>
      <c r="I13" s="143"/>
      <c r="J13" s="143"/>
      <c r="K13" s="140"/>
      <c r="R13" s="60" t="s">
        <v>31</v>
      </c>
    </row>
    <row r="14" spans="2:19" ht="22" customHeight="1" x14ac:dyDescent="0.35">
      <c r="B14" s="439" t="s">
        <v>32</v>
      </c>
      <c r="C14" s="439"/>
      <c r="D14" s="439"/>
      <c r="E14" s="140"/>
      <c r="F14" s="433"/>
      <c r="G14" s="433"/>
      <c r="H14" s="433"/>
      <c r="I14" s="433"/>
      <c r="J14" s="433"/>
      <c r="K14" s="140"/>
      <c r="R14" s="60" t="s">
        <v>33</v>
      </c>
    </row>
    <row r="15" spans="2:19" ht="22" customHeight="1" x14ac:dyDescent="0.35">
      <c r="B15" s="439"/>
      <c r="C15" s="439"/>
      <c r="D15" s="439"/>
      <c r="E15" s="140"/>
      <c r="F15" s="433"/>
      <c r="G15" s="433"/>
      <c r="H15" s="433"/>
      <c r="I15" s="433"/>
      <c r="J15" s="433"/>
      <c r="K15" s="140"/>
      <c r="R15" s="60" t="s">
        <v>34</v>
      </c>
    </row>
    <row r="16" spans="2:19" ht="11.15" customHeight="1" x14ac:dyDescent="0.35">
      <c r="B16" s="340"/>
      <c r="C16" s="340"/>
      <c r="D16" s="140"/>
      <c r="E16" s="140"/>
      <c r="F16" s="143"/>
      <c r="G16" s="143"/>
      <c r="H16" s="143"/>
      <c r="I16" s="143"/>
      <c r="J16" s="143"/>
      <c r="K16" s="40"/>
      <c r="R16" s="60" t="s">
        <v>35</v>
      </c>
    </row>
    <row r="17" spans="1:18" ht="22" customHeight="1" x14ac:dyDescent="0.35">
      <c r="B17" s="143" t="s">
        <v>36</v>
      </c>
      <c r="C17" s="340"/>
      <c r="D17" s="140"/>
      <c r="E17" s="140"/>
      <c r="F17" s="142" t="s">
        <v>11</v>
      </c>
      <c r="G17" s="143"/>
      <c r="H17" s="143"/>
      <c r="I17" s="143"/>
      <c r="J17" s="143"/>
      <c r="K17" s="40"/>
      <c r="R17" s="60" t="s">
        <v>37</v>
      </c>
    </row>
    <row r="18" spans="1:18" ht="11.15" customHeight="1" x14ac:dyDescent="0.35">
      <c r="B18" s="40"/>
      <c r="C18" s="40"/>
      <c r="D18" s="140"/>
      <c r="E18" s="140"/>
      <c r="F18" s="53"/>
      <c r="G18" s="40"/>
      <c r="H18" s="40"/>
      <c r="I18" s="40"/>
      <c r="J18" s="40"/>
      <c r="K18" s="40"/>
      <c r="R18" s="60" t="s">
        <v>38</v>
      </c>
    </row>
    <row r="19" spans="1:18" ht="22" customHeight="1" x14ac:dyDescent="0.35">
      <c r="B19" s="437" t="s">
        <v>39</v>
      </c>
      <c r="C19" s="437"/>
      <c r="D19" s="437"/>
      <c r="E19" s="437"/>
      <c r="F19" s="437"/>
      <c r="G19" s="437"/>
      <c r="H19" s="437"/>
      <c r="I19" s="437"/>
      <c r="J19" s="437"/>
      <c r="K19" s="437"/>
      <c r="R19" s="60" t="s">
        <v>40</v>
      </c>
    </row>
    <row r="20" spans="1:18" ht="11.15" customHeight="1" x14ac:dyDescent="0.35">
      <c r="B20" s="40"/>
      <c r="C20" s="40"/>
      <c r="D20" s="140"/>
      <c r="E20" s="140"/>
      <c r="F20" s="53"/>
      <c r="G20" s="40"/>
      <c r="H20" s="40"/>
      <c r="I20" s="40"/>
      <c r="J20" s="40"/>
      <c r="K20" s="40"/>
      <c r="R20" s="60" t="s">
        <v>41</v>
      </c>
    </row>
    <row r="21" spans="1:18" ht="22" customHeight="1" x14ac:dyDescent="0.35">
      <c r="B21" s="434" t="s">
        <v>42</v>
      </c>
      <c r="C21" s="434"/>
      <c r="D21" s="434"/>
      <c r="E21" s="434"/>
      <c r="F21" s="436"/>
      <c r="G21" s="436"/>
      <c r="H21" s="435" t="s">
        <v>43</v>
      </c>
      <c r="I21" s="40"/>
      <c r="J21" s="40"/>
      <c r="K21" s="40"/>
      <c r="R21" s="60" t="s">
        <v>44</v>
      </c>
    </row>
    <row r="22" spans="1:18" ht="22" customHeight="1" x14ac:dyDescent="0.35">
      <c r="B22" s="434"/>
      <c r="C22" s="434"/>
      <c r="D22" s="434"/>
      <c r="E22" s="434"/>
      <c r="F22" s="436"/>
      <c r="G22" s="436"/>
      <c r="H22" s="435"/>
      <c r="I22" s="40"/>
      <c r="J22" s="40"/>
      <c r="K22" s="40"/>
      <c r="R22" s="60" t="s">
        <v>45</v>
      </c>
    </row>
    <row r="23" spans="1:18" ht="11.15" customHeight="1" x14ac:dyDescent="0.35">
      <c r="B23" s="141"/>
      <c r="C23" s="141"/>
      <c r="D23" s="141"/>
      <c r="E23" s="141"/>
      <c r="F23" s="68"/>
      <c r="G23" s="141"/>
      <c r="H23" s="53"/>
      <c r="I23" s="40"/>
      <c r="J23" s="40"/>
      <c r="K23" s="40"/>
    </row>
    <row r="24" spans="1:18" ht="22" customHeight="1" x14ac:dyDescent="0.35">
      <c r="B24" s="438" t="s">
        <v>46</v>
      </c>
      <c r="C24" s="438"/>
      <c r="D24" s="438"/>
      <c r="E24" s="438"/>
      <c r="F24" s="438"/>
      <c r="G24" s="432" t="s">
        <v>47</v>
      </c>
      <c r="H24" s="432" t="s">
        <v>48</v>
      </c>
      <c r="I24" s="432"/>
      <c r="J24" s="432"/>
      <c r="K24" s="59"/>
    </row>
    <row r="25" spans="1:18" ht="22" customHeight="1" x14ac:dyDescent="0.35">
      <c r="B25" s="438"/>
      <c r="C25" s="438"/>
      <c r="D25" s="438"/>
      <c r="E25" s="438"/>
      <c r="F25" s="438"/>
      <c r="G25" s="432"/>
      <c r="H25" s="432"/>
      <c r="I25" s="432"/>
      <c r="J25" s="432"/>
      <c r="K25" s="58"/>
    </row>
    <row r="26" spans="1:18" ht="22" customHeight="1" x14ac:dyDescent="0.35">
      <c r="A26" s="60" t="s">
        <v>49</v>
      </c>
      <c r="B26" s="430" t="s">
        <v>50</v>
      </c>
      <c r="C26" s="430"/>
      <c r="D26" s="430"/>
      <c r="E26" s="430"/>
      <c r="F26" s="430"/>
      <c r="G26" s="145" t="s">
        <v>11</v>
      </c>
      <c r="H26" s="427"/>
      <c r="I26" s="427"/>
      <c r="J26" s="427"/>
      <c r="K26" s="40"/>
    </row>
    <row r="27" spans="1:18" ht="22" customHeight="1" x14ac:dyDescent="0.35">
      <c r="B27" s="426" t="s">
        <v>51</v>
      </c>
      <c r="C27" s="426"/>
      <c r="D27" s="426"/>
      <c r="E27" s="426"/>
      <c r="F27" s="426"/>
      <c r="G27" s="146" t="s">
        <v>11</v>
      </c>
      <c r="H27" s="428"/>
      <c r="I27" s="428"/>
      <c r="J27" s="428"/>
      <c r="K27" s="40"/>
    </row>
    <row r="28" spans="1:18" ht="22" customHeight="1" x14ac:dyDescent="0.35">
      <c r="B28" s="426" t="s">
        <v>52</v>
      </c>
      <c r="C28" s="426"/>
      <c r="D28" s="426"/>
      <c r="E28" s="426"/>
      <c r="F28" s="426"/>
      <c r="G28" s="146" t="s">
        <v>11</v>
      </c>
      <c r="H28" s="428"/>
      <c r="I28" s="428"/>
      <c r="J28" s="428"/>
      <c r="K28" s="40"/>
    </row>
    <row r="29" spans="1:18" ht="22" customHeight="1" x14ac:dyDescent="0.35">
      <c r="B29" s="431" t="s">
        <v>53</v>
      </c>
      <c r="C29" s="431"/>
      <c r="D29" s="431"/>
      <c r="E29" s="431"/>
      <c r="F29" s="431"/>
      <c r="G29" s="146" t="s">
        <v>11</v>
      </c>
      <c r="H29" s="428"/>
      <c r="I29" s="428"/>
      <c r="J29" s="428"/>
      <c r="K29" s="40"/>
    </row>
    <row r="30" spans="1:18" ht="22" customHeight="1" x14ac:dyDescent="0.35">
      <c r="B30" s="426" t="s">
        <v>54</v>
      </c>
      <c r="C30" s="426"/>
      <c r="D30" s="426"/>
      <c r="E30" s="426"/>
      <c r="F30" s="426"/>
      <c r="G30" s="146" t="s">
        <v>11</v>
      </c>
      <c r="H30" s="428"/>
      <c r="I30" s="428"/>
      <c r="J30" s="428"/>
      <c r="K30" s="40"/>
    </row>
    <row r="31" spans="1:18" ht="22" customHeight="1" x14ac:dyDescent="0.35">
      <c r="B31" s="426" t="s">
        <v>55</v>
      </c>
      <c r="C31" s="426"/>
      <c r="D31" s="426"/>
      <c r="E31" s="426"/>
      <c r="F31" s="426"/>
      <c r="G31" s="146" t="s">
        <v>11</v>
      </c>
      <c r="H31" s="428"/>
      <c r="I31" s="428"/>
      <c r="J31" s="428"/>
      <c r="K31" s="40"/>
    </row>
    <row r="32" spans="1:18" ht="22" customHeight="1" x14ac:dyDescent="0.35">
      <c r="B32" s="426" t="s">
        <v>56</v>
      </c>
      <c r="C32" s="426"/>
      <c r="D32" s="426"/>
      <c r="E32" s="426"/>
      <c r="F32" s="426"/>
      <c r="G32" s="146" t="s">
        <v>11</v>
      </c>
      <c r="H32" s="428"/>
      <c r="I32" s="428"/>
      <c r="J32" s="428"/>
      <c r="K32" s="40"/>
    </row>
    <row r="33" spans="2:11" ht="22" customHeight="1" x14ac:dyDescent="0.35">
      <c r="B33" s="426" t="s">
        <v>57</v>
      </c>
      <c r="C33" s="426"/>
      <c r="D33" s="426"/>
      <c r="E33" s="426"/>
      <c r="F33" s="426"/>
      <c r="G33" s="146" t="s">
        <v>11</v>
      </c>
      <c r="H33" s="428"/>
      <c r="I33" s="428"/>
      <c r="J33" s="428"/>
      <c r="K33" s="40"/>
    </row>
    <row r="34" spans="2:11" ht="22" customHeight="1" x14ac:dyDescent="0.35">
      <c r="B34" s="426" t="s">
        <v>58</v>
      </c>
      <c r="C34" s="426"/>
      <c r="D34" s="426"/>
      <c r="E34" s="426"/>
      <c r="F34" s="426"/>
      <c r="G34" s="146" t="s">
        <v>11</v>
      </c>
      <c r="H34" s="428"/>
      <c r="I34" s="428"/>
      <c r="J34" s="428"/>
      <c r="K34" s="40"/>
    </row>
    <row r="35" spans="2:11" ht="22" customHeight="1" x14ac:dyDescent="0.35">
      <c r="B35" s="426" t="s">
        <v>59</v>
      </c>
      <c r="C35" s="426"/>
      <c r="D35" s="426"/>
      <c r="E35" s="426"/>
      <c r="F35" s="426"/>
      <c r="G35" s="146" t="s">
        <v>11</v>
      </c>
      <c r="H35" s="428"/>
      <c r="I35" s="428"/>
      <c r="J35" s="428"/>
      <c r="K35" s="40"/>
    </row>
    <row r="36" spans="2:11" ht="22" customHeight="1" x14ac:dyDescent="0.35">
      <c r="B36" s="426" t="s">
        <v>60</v>
      </c>
      <c r="C36" s="426"/>
      <c r="D36" s="426"/>
      <c r="E36" s="426"/>
      <c r="F36" s="426"/>
      <c r="G36" s="146" t="s">
        <v>11</v>
      </c>
      <c r="H36" s="428"/>
      <c r="I36" s="428"/>
      <c r="J36" s="428"/>
      <c r="K36" s="40"/>
    </row>
    <row r="37" spans="2:11" ht="22" customHeight="1" x14ac:dyDescent="0.35">
      <c r="B37" s="426" t="s">
        <v>61</v>
      </c>
      <c r="C37" s="426"/>
      <c r="D37" s="426"/>
      <c r="E37" s="426"/>
      <c r="F37" s="426"/>
      <c r="G37" s="146" t="s">
        <v>11</v>
      </c>
      <c r="H37" s="428"/>
      <c r="I37" s="428"/>
      <c r="J37" s="428"/>
      <c r="K37" s="40"/>
    </row>
    <row r="38" spans="2:11" ht="22" customHeight="1" x14ac:dyDescent="0.35">
      <c r="B38" s="426" t="s">
        <v>62</v>
      </c>
      <c r="C38" s="426"/>
      <c r="D38" s="426"/>
      <c r="E38" s="426"/>
      <c r="F38" s="426"/>
      <c r="G38" s="146" t="s">
        <v>11</v>
      </c>
      <c r="H38" s="428"/>
      <c r="I38" s="428"/>
      <c r="J38" s="428"/>
      <c r="K38" s="40"/>
    </row>
    <row r="39" spans="2:11" ht="22" customHeight="1" x14ac:dyDescent="0.35">
      <c r="B39" s="426" t="s">
        <v>63</v>
      </c>
      <c r="C39" s="426"/>
      <c r="D39" s="426"/>
      <c r="E39" s="426"/>
      <c r="F39" s="426"/>
      <c r="G39" s="146" t="s">
        <v>11</v>
      </c>
      <c r="H39" s="428"/>
      <c r="I39" s="428"/>
      <c r="J39" s="428"/>
      <c r="K39" s="40"/>
    </row>
    <row r="40" spans="2:11" ht="22" customHeight="1" x14ac:dyDescent="0.35">
      <c r="B40" s="426" t="s">
        <v>64</v>
      </c>
      <c r="C40" s="426"/>
      <c r="D40" s="426"/>
      <c r="E40" s="426"/>
      <c r="F40" s="426"/>
      <c r="G40" s="347" t="s">
        <v>11</v>
      </c>
      <c r="H40" s="429"/>
      <c r="I40" s="429"/>
      <c r="J40" s="429"/>
      <c r="K40" s="40"/>
    </row>
    <row r="41" spans="2:11" ht="11.15" customHeight="1" x14ac:dyDescent="0.35">
      <c r="B41" s="52"/>
      <c r="C41" s="52"/>
      <c r="D41" s="52"/>
      <c r="E41" s="52"/>
      <c r="F41" s="53"/>
      <c r="G41" s="53"/>
      <c r="H41" s="53"/>
      <c r="I41" s="40"/>
      <c r="J41" s="40"/>
      <c r="K41" s="40"/>
    </row>
    <row r="42" spans="2:11" ht="6" customHeight="1" x14ac:dyDescent="0.35">
      <c r="B42" s="139"/>
      <c r="C42" s="139"/>
      <c r="D42" s="139"/>
      <c r="E42" s="139"/>
      <c r="F42" s="51"/>
      <c r="G42" s="139"/>
      <c r="H42" s="139"/>
      <c r="I42" s="139"/>
      <c r="J42" s="139"/>
      <c r="K42" s="139"/>
    </row>
    <row r="43" spans="2:11" ht="6" customHeight="1" x14ac:dyDescent="0.35">
      <c r="B43" s="138"/>
      <c r="C43" s="138"/>
      <c r="D43" s="138"/>
      <c r="E43" s="138"/>
      <c r="F43" s="45"/>
      <c r="G43" s="138"/>
      <c r="H43" s="138"/>
      <c r="I43" s="138"/>
      <c r="J43" s="138"/>
      <c r="K43" s="138"/>
    </row>
    <row r="44" spans="2:11" x14ac:dyDescent="0.35"/>
  </sheetData>
  <sheetProtection algorithmName="SHA-512" hashValue="ekerdaMwaZDwz86F3IwKxjaf2c/ehkZysz0jz+S1/nFI+kzFt9Zx8QwCn3BBhQWKOvgb9grEX351dwTwArsyvw==" saltValue="oHHVcI4dWDhcs3ah+/8Eng==" spinCount="100000" sheet="1" objects="1" scenarios="1"/>
  <protectedRanges>
    <protectedRange sqref="F8:J8" name="Range3"/>
    <protectedRange sqref="G26:J40" name="Range2"/>
    <protectedRange sqref="F10 F12 F14 F17 F21" name="Range1"/>
  </protectedRanges>
  <mergeCells count="40">
    <mergeCell ref="H24:J25"/>
    <mergeCell ref="F14:J15"/>
    <mergeCell ref="B21:E22"/>
    <mergeCell ref="H21:H22"/>
    <mergeCell ref="F21:G22"/>
    <mergeCell ref="B19:K19"/>
    <mergeCell ref="G24:G25"/>
    <mergeCell ref="B24:F25"/>
    <mergeCell ref="B14:D15"/>
    <mergeCell ref="B34:F34"/>
    <mergeCell ref="B35:F35"/>
    <mergeCell ref="B26:F26"/>
    <mergeCell ref="B27:F27"/>
    <mergeCell ref="B28:F28"/>
    <mergeCell ref="B29:F29"/>
    <mergeCell ref="B30:F30"/>
    <mergeCell ref="B31:F31"/>
    <mergeCell ref="B32:F32"/>
    <mergeCell ref="B33:F33"/>
    <mergeCell ref="H40:J40"/>
    <mergeCell ref="B36:F36"/>
    <mergeCell ref="B37:F37"/>
    <mergeCell ref="B38:F38"/>
    <mergeCell ref="B39:F39"/>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s>
  <conditionalFormatting sqref="B19:K41">
    <cfRule type="expression" dxfId="46" priority="1">
      <formula>$F$17="Nē"</formula>
    </cfRule>
  </conditionalFormatting>
  <conditionalFormatting sqref="F41:G41">
    <cfRule type="expression" dxfId="45" priority="20">
      <formula>$F$17="Ei"</formula>
    </cfRule>
  </conditionalFormatting>
  <conditionalFormatting sqref="G26:G40">
    <cfRule type="containsText" dxfId="44" priority="15" operator="containsText" text="Daļēji">
      <formula>NOT(ISERROR(SEARCH("Daļēji",G26)))</formula>
    </cfRule>
    <cfRule type="containsText" dxfId="43" priority="16" operator="containsText" text="Jā">
      <formula>NOT(ISERROR(SEARCH("Jā",G26)))</formula>
    </cfRule>
  </conditionalFormatting>
  <conditionalFormatting sqref="G26:J40 B41:J41">
    <cfRule type="expression" dxfId="42" priority="10">
      <formula>$F$17="Nē"</formula>
    </cfRule>
  </conditionalFormatting>
  <conditionalFormatting sqref="H26:J40">
    <cfRule type="expression" dxfId="41" priority="13">
      <formula>$G26="Osaliselt"</formula>
    </cfRule>
    <cfRule type="expression" dxfId="40" priority="18">
      <formula>$G26="Jā"</formula>
    </cfRule>
  </conditionalFormatting>
  <dataValidations count="5">
    <dataValidation type="list" allowBlank="1" showInputMessage="1" showErrorMessage="1" sqref="F10" xr:uid="{DCE5C7EF-20E7-46AA-91ED-5625355B0C61}">
      <formula1>$O$1:$O$5</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$S$1:$S$4</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tabColor theme="4" tint="0.79998168889431442"/>
  </sheetPr>
  <dimension ref="A1:AH219"/>
  <sheetViews>
    <sheetView showGridLines="0" zoomScale="90" zoomScaleNormal="90" workbookViewId="0">
      <selection activeCell="C23" sqref="C23"/>
    </sheetView>
  </sheetViews>
  <sheetFormatPr defaultColWidth="0" defaultRowHeight="20.149999999999999" customHeight="1" zeroHeight="1" x14ac:dyDescent="0.35"/>
  <cols>
    <col min="1" max="1" width="3.453125" customWidth="1"/>
    <col min="2" max="2" width="27.1796875" customWidth="1"/>
    <col min="3" max="3" width="14.1796875" bestFit="1" customWidth="1"/>
    <col min="4" max="4" width="10.1796875" hidden="1" customWidth="1"/>
    <col min="5" max="5" width="15.1796875" customWidth="1"/>
    <col min="6" max="6" width="10.26953125" customWidth="1"/>
    <col min="7" max="8" width="11.26953125" customWidth="1"/>
    <col min="9" max="10" width="20.54296875" style="6" customWidth="1"/>
    <col min="11" max="11" width="11.54296875" style="6" customWidth="1"/>
    <col min="12" max="13" width="20.54296875" style="6" customWidth="1"/>
    <col min="14" max="14" width="3.7265625" customWidth="1"/>
    <col min="15" max="15" width="5.54296875" style="27" hidden="1" customWidth="1"/>
    <col min="16" max="16384" width="5.54296875" hidden="1"/>
  </cols>
  <sheetData>
    <row r="1" spans="2:34" ht="14.5" x14ac:dyDescent="0.35">
      <c r="B1" s="43"/>
      <c r="Q1" s="36">
        <v>0</v>
      </c>
      <c r="U1" t="s">
        <v>65</v>
      </c>
      <c r="X1" t="s">
        <v>66</v>
      </c>
      <c r="Z1" t="s">
        <v>8</v>
      </c>
      <c r="AB1" t="s">
        <v>67</v>
      </c>
      <c r="AC1" t="s">
        <v>66</v>
      </c>
      <c r="AE1" t="s">
        <v>66</v>
      </c>
      <c r="AH1" t="s">
        <v>68</v>
      </c>
    </row>
    <row r="2" spans="2:34" ht="6" customHeight="1" x14ac:dyDescent="0.35">
      <c r="B2" s="10"/>
      <c r="C2" s="10"/>
      <c r="D2" s="10"/>
      <c r="E2" s="10"/>
      <c r="F2" s="10"/>
      <c r="G2" s="10"/>
      <c r="H2" s="10"/>
      <c r="I2" s="66"/>
      <c r="J2" s="66"/>
      <c r="K2" s="66"/>
      <c r="L2" s="66"/>
      <c r="M2" s="66"/>
      <c r="Q2" s="36">
        <v>0.2</v>
      </c>
      <c r="U2" t="s">
        <v>69</v>
      </c>
      <c r="X2" t="s">
        <v>70</v>
      </c>
      <c r="Z2" t="s">
        <v>11</v>
      </c>
      <c r="AB2" t="s">
        <v>71</v>
      </c>
      <c r="AC2" t="s">
        <v>68</v>
      </c>
      <c r="AE2" t="s">
        <v>68</v>
      </c>
      <c r="AH2" t="s">
        <v>72</v>
      </c>
    </row>
    <row r="3" spans="2:34" ht="6" customHeight="1" x14ac:dyDescent="0.35">
      <c r="B3" s="11"/>
      <c r="C3" s="11"/>
      <c r="D3" s="11"/>
      <c r="E3" s="11"/>
      <c r="F3" s="11"/>
      <c r="G3" s="11"/>
      <c r="H3" s="11"/>
      <c r="I3" s="67"/>
      <c r="J3" s="67"/>
      <c r="K3" s="67"/>
      <c r="L3" s="67"/>
      <c r="M3" s="67"/>
      <c r="Q3" s="36">
        <v>0.4</v>
      </c>
      <c r="U3" t="s">
        <v>73</v>
      </c>
      <c r="X3" t="s">
        <v>68</v>
      </c>
      <c r="AE3" t="s">
        <v>72</v>
      </c>
      <c r="AH3" t="s">
        <v>70</v>
      </c>
    </row>
    <row r="4" spans="2:34" ht="10" customHeight="1" x14ac:dyDescent="0.35">
      <c r="Q4" s="36">
        <v>0.6</v>
      </c>
      <c r="U4" t="s">
        <v>74</v>
      </c>
      <c r="X4" t="s">
        <v>72</v>
      </c>
      <c r="AE4" t="s">
        <v>75</v>
      </c>
    </row>
    <row r="5" spans="2:34" ht="18.5" x14ac:dyDescent="0.45">
      <c r="B5" s="1" t="s">
        <v>76</v>
      </c>
      <c r="K5" s="41"/>
      <c r="L5" s="12" t="s">
        <v>77</v>
      </c>
      <c r="M5" s="24">
        <f>Informācija!F10</f>
        <v>0</v>
      </c>
      <c r="Q5" s="36">
        <v>0.8</v>
      </c>
    </row>
    <row r="6" spans="2:34" ht="14.15" customHeight="1" x14ac:dyDescent="0.45">
      <c r="B6" s="1"/>
      <c r="K6" s="440" t="s">
        <v>78</v>
      </c>
      <c r="L6" s="440"/>
      <c r="M6" s="24">
        <f>Informācija!F12</f>
        <v>0</v>
      </c>
      <c r="Q6" s="36">
        <v>1</v>
      </c>
    </row>
    <row r="7" spans="2:34" ht="15.5" x14ac:dyDescent="0.35">
      <c r="B7" s="20" t="s">
        <v>79</v>
      </c>
    </row>
    <row r="8" spans="2:34" ht="29.15" customHeight="1" x14ac:dyDescent="0.35">
      <c r="B8" s="447" t="s">
        <v>80</v>
      </c>
      <c r="C8" s="447"/>
      <c r="D8" s="447"/>
      <c r="E8" s="447"/>
      <c r="F8" s="447"/>
      <c r="G8" s="447"/>
      <c r="H8" s="447"/>
      <c r="I8" s="447"/>
      <c r="J8" s="447"/>
      <c r="K8" s="447"/>
      <c r="L8" s="447"/>
      <c r="M8" s="447"/>
    </row>
    <row r="9" spans="2:34" ht="10" customHeight="1" x14ac:dyDescent="0.35"/>
    <row r="10" spans="2:34" ht="6" customHeight="1" x14ac:dyDescent="0.35">
      <c r="B10" s="10"/>
      <c r="C10" s="10"/>
      <c r="D10" s="10"/>
      <c r="E10" s="10"/>
      <c r="F10" s="10"/>
      <c r="G10" s="10"/>
      <c r="H10" s="10"/>
      <c r="I10" s="66"/>
      <c r="J10" s="66"/>
      <c r="K10" s="66"/>
      <c r="L10" s="66"/>
      <c r="M10" s="66"/>
    </row>
    <row r="11" spans="2:34" ht="14.5" x14ac:dyDescent="0.35"/>
    <row r="12" spans="2:34" ht="18.5" x14ac:dyDescent="0.45">
      <c r="B12" s="1" t="s">
        <v>81</v>
      </c>
    </row>
    <row r="13" spans="2:34" ht="14.5" customHeight="1" x14ac:dyDescent="0.35">
      <c r="B13" s="445" t="s">
        <v>82</v>
      </c>
      <c r="C13" s="445"/>
      <c r="D13" s="445"/>
      <c r="E13" s="445"/>
      <c r="F13" s="445"/>
      <c r="G13" s="445"/>
      <c r="H13" s="445"/>
      <c r="I13" s="445"/>
      <c r="J13" s="445"/>
      <c r="K13" s="445"/>
      <c r="L13" s="445"/>
      <c r="M13" s="445"/>
    </row>
    <row r="14" spans="2:34" ht="43" customHeight="1" x14ac:dyDescent="0.35">
      <c r="B14" s="444" t="s">
        <v>83</v>
      </c>
      <c r="C14" s="444"/>
      <c r="D14" s="444"/>
      <c r="E14" s="444"/>
      <c r="F14" s="444"/>
      <c r="G14" s="444"/>
      <c r="H14" s="444"/>
      <c r="I14" s="444"/>
      <c r="J14" s="444"/>
      <c r="K14" s="444"/>
      <c r="L14" s="444"/>
      <c r="M14" s="444"/>
    </row>
    <row r="15" spans="2:34" ht="14.5" x14ac:dyDescent="0.35">
      <c r="B15" s="32"/>
      <c r="C15" s="32"/>
      <c r="D15" s="32"/>
      <c r="E15" s="32"/>
      <c r="F15" s="32"/>
      <c r="G15" s="32"/>
      <c r="H15" s="32"/>
      <c r="I15" s="130"/>
      <c r="J15" s="130"/>
      <c r="K15" s="130"/>
      <c r="L15" s="130"/>
      <c r="M15" s="130"/>
    </row>
    <row r="16" spans="2:34" ht="15" customHeight="1" x14ac:dyDescent="0.35">
      <c r="B16" s="35"/>
      <c r="C16" s="35"/>
      <c r="D16" s="35"/>
      <c r="E16" s="35"/>
      <c r="F16" s="35"/>
      <c r="G16" s="480" t="s">
        <v>84</v>
      </c>
      <c r="H16" s="480"/>
      <c r="I16" s="449" t="s">
        <v>85</v>
      </c>
      <c r="J16" s="449"/>
      <c r="K16" s="131"/>
      <c r="L16" s="124"/>
      <c r="M16" s="124"/>
    </row>
    <row r="17" spans="2:15" ht="29" x14ac:dyDescent="0.35">
      <c r="B17" s="332" t="s">
        <v>86</v>
      </c>
      <c r="C17" s="332" t="s">
        <v>87</v>
      </c>
      <c r="D17" s="37"/>
      <c r="E17" s="332" t="s">
        <v>88</v>
      </c>
      <c r="F17" s="332" t="s">
        <v>89</v>
      </c>
      <c r="G17" s="480"/>
      <c r="H17" s="480"/>
      <c r="I17" s="350" t="s">
        <v>90</v>
      </c>
      <c r="J17" s="351" t="s">
        <v>89</v>
      </c>
    </row>
    <row r="18" spans="2:15" ht="16.5" x14ac:dyDescent="0.35">
      <c r="B18" s="341" t="s">
        <v>91</v>
      </c>
      <c r="C18" s="188" t="s">
        <v>11</v>
      </c>
      <c r="D18" s="189"/>
      <c r="E18" s="190"/>
      <c r="F18" s="191"/>
      <c r="G18" s="480"/>
      <c r="H18" s="480"/>
      <c r="I18" s="187"/>
      <c r="J18" s="178" t="s">
        <v>92</v>
      </c>
    </row>
    <row r="19" spans="2:15" ht="16.5" x14ac:dyDescent="0.35">
      <c r="B19" s="341" t="s">
        <v>93</v>
      </c>
      <c r="C19" s="192" t="s">
        <v>11</v>
      </c>
      <c r="D19" s="193"/>
      <c r="E19" s="194"/>
      <c r="F19" s="195"/>
      <c r="G19" s="480"/>
      <c r="H19" s="480"/>
      <c r="I19" s="187"/>
      <c r="J19" s="178" t="s">
        <v>92</v>
      </c>
    </row>
    <row r="20" spans="2:15" ht="16.5" x14ac:dyDescent="0.35">
      <c r="B20" s="341" t="s">
        <v>94</v>
      </c>
      <c r="C20" s="192" t="s">
        <v>11</v>
      </c>
      <c r="D20" s="193"/>
      <c r="E20" s="194"/>
      <c r="F20" s="195"/>
      <c r="G20" s="480"/>
      <c r="H20" s="480"/>
      <c r="I20" s="174"/>
      <c r="J20" s="179" t="s">
        <v>92</v>
      </c>
      <c r="O20" s="69"/>
    </row>
    <row r="21" spans="2:15" ht="16.5" x14ac:dyDescent="0.35">
      <c r="B21" s="341" t="s">
        <v>95</v>
      </c>
      <c r="C21" s="192" t="s">
        <v>11</v>
      </c>
      <c r="D21" s="193"/>
      <c r="E21" s="194"/>
      <c r="F21" s="195"/>
      <c r="G21" s="480"/>
      <c r="H21" s="480"/>
      <c r="I21" s="187"/>
      <c r="J21" s="178" t="s">
        <v>92</v>
      </c>
    </row>
    <row r="22" spans="2:15" ht="16.5" x14ac:dyDescent="0.35">
      <c r="B22" s="341" t="s">
        <v>96</v>
      </c>
      <c r="C22" s="192" t="s">
        <v>11</v>
      </c>
      <c r="D22" s="193"/>
      <c r="E22" s="194"/>
      <c r="F22" s="195"/>
      <c r="G22" s="480"/>
      <c r="H22" s="480"/>
      <c r="I22" s="187"/>
      <c r="J22" s="178" t="s">
        <v>92</v>
      </c>
    </row>
    <row r="23" spans="2:15" ht="16.5" x14ac:dyDescent="0.35">
      <c r="B23" s="341" t="s">
        <v>97</v>
      </c>
      <c r="C23" s="196" t="s">
        <v>11</v>
      </c>
      <c r="D23" s="197"/>
      <c r="E23" s="198"/>
      <c r="F23" s="199"/>
      <c r="G23" s="480"/>
      <c r="H23" s="480"/>
      <c r="I23" s="175"/>
      <c r="J23" s="180" t="s">
        <v>92</v>
      </c>
    </row>
    <row r="24" spans="2:15" ht="32.15" customHeight="1" x14ac:dyDescent="0.35">
      <c r="B24" s="44" t="s">
        <v>98</v>
      </c>
      <c r="C24" s="35"/>
      <c r="D24" s="38"/>
      <c r="G24" s="480"/>
      <c r="H24" s="480"/>
      <c r="J24" s="125"/>
    </row>
    <row r="25" spans="2:15" ht="16.5" customHeight="1" x14ac:dyDescent="0.35">
      <c r="B25" s="176" t="s">
        <v>99</v>
      </c>
      <c r="C25" s="200" t="s">
        <v>11</v>
      </c>
      <c r="D25" s="201"/>
      <c r="E25" s="202"/>
      <c r="F25" s="203"/>
      <c r="G25" s="480"/>
      <c r="H25" s="480"/>
      <c r="I25" s="184"/>
      <c r="J25" s="181" t="s">
        <v>92</v>
      </c>
      <c r="K25" s="441" t="s">
        <v>100</v>
      </c>
      <c r="L25" s="441"/>
      <c r="M25" s="441"/>
    </row>
    <row r="26" spans="2:15" ht="16.5" x14ac:dyDescent="0.35">
      <c r="B26" s="177" t="s">
        <v>101</v>
      </c>
      <c r="C26" s="204" t="s">
        <v>11</v>
      </c>
      <c r="D26" s="205"/>
      <c r="E26" s="206"/>
      <c r="F26" s="207"/>
      <c r="G26" s="480"/>
      <c r="H26" s="480"/>
      <c r="I26" s="185"/>
      <c r="J26" s="182" t="s">
        <v>92</v>
      </c>
      <c r="K26" s="441"/>
      <c r="L26" s="441"/>
      <c r="M26" s="441"/>
    </row>
    <row r="27" spans="2:15" ht="16.5" x14ac:dyDescent="0.35">
      <c r="B27" s="177" t="s">
        <v>102</v>
      </c>
      <c r="C27" s="204" t="s">
        <v>11</v>
      </c>
      <c r="D27" s="205"/>
      <c r="E27" s="206"/>
      <c r="F27" s="207"/>
      <c r="G27" s="480"/>
      <c r="H27" s="480"/>
      <c r="I27" s="185"/>
      <c r="J27" s="182" t="s">
        <v>92</v>
      </c>
      <c r="K27" s="441"/>
      <c r="L27" s="441"/>
      <c r="M27" s="441"/>
    </row>
    <row r="28" spans="2:15" ht="16.5" x14ac:dyDescent="0.35">
      <c r="B28" s="177" t="s">
        <v>103</v>
      </c>
      <c r="C28" s="204" t="s">
        <v>11</v>
      </c>
      <c r="D28" s="205"/>
      <c r="E28" s="206"/>
      <c r="F28" s="207"/>
      <c r="G28" s="480"/>
      <c r="H28" s="480"/>
      <c r="I28" s="186"/>
      <c r="J28" s="183" t="s">
        <v>92</v>
      </c>
      <c r="K28" s="441"/>
      <c r="L28" s="441"/>
      <c r="M28" s="441"/>
    </row>
    <row r="29" spans="2:15" ht="9" customHeight="1" x14ac:dyDescent="0.35">
      <c r="B29" s="63"/>
      <c r="C29" s="35"/>
      <c r="D29" s="38"/>
      <c r="E29" s="64"/>
      <c r="G29" s="62"/>
      <c r="H29" s="62"/>
      <c r="I29" s="65"/>
      <c r="J29" s="65"/>
      <c r="K29" s="65"/>
      <c r="L29" s="61"/>
      <c r="M29" s="61"/>
    </row>
    <row r="30" spans="2:15" ht="14.5" x14ac:dyDescent="0.35">
      <c r="B30" s="450" t="s">
        <v>104</v>
      </c>
      <c r="C30" s="451"/>
      <c r="D30" s="451"/>
      <c r="E30" s="451"/>
      <c r="F30" s="451"/>
      <c r="G30" s="451"/>
      <c r="H30" s="451"/>
      <c r="I30" s="451"/>
      <c r="J30" s="451"/>
      <c r="K30" s="451"/>
      <c r="L30" s="451"/>
      <c r="M30" s="451"/>
    </row>
    <row r="31" spans="2:15" ht="14.5" x14ac:dyDescent="0.35">
      <c r="B31" s="450" t="s">
        <v>105</v>
      </c>
      <c r="C31" s="451"/>
      <c r="D31" s="451"/>
      <c r="E31" s="451"/>
      <c r="F31" s="451"/>
      <c r="G31" s="451"/>
      <c r="H31" s="451"/>
      <c r="I31" s="451"/>
      <c r="J31" s="451"/>
      <c r="K31" s="451"/>
      <c r="L31" s="451"/>
      <c r="M31" s="451"/>
    </row>
    <row r="32" spans="2:15" ht="6" customHeight="1" x14ac:dyDescent="0.35">
      <c r="B32" s="21"/>
      <c r="C32" s="21"/>
      <c r="D32" s="10"/>
      <c r="E32" s="22"/>
      <c r="F32" s="10"/>
      <c r="G32" s="10"/>
      <c r="H32" s="10"/>
      <c r="I32" s="66"/>
      <c r="J32" s="66"/>
      <c r="K32" s="66"/>
      <c r="L32" s="66"/>
      <c r="M32" s="66"/>
    </row>
    <row r="33" spans="2:14" ht="14.5" x14ac:dyDescent="0.35"/>
    <row r="34" spans="2:14" ht="18.5" x14ac:dyDescent="0.45">
      <c r="B34" s="1" t="s">
        <v>106</v>
      </c>
    </row>
    <row r="35" spans="2:14" ht="35.25" customHeight="1" x14ac:dyDescent="0.35">
      <c r="B35" s="445" t="s">
        <v>107</v>
      </c>
      <c r="C35" s="448"/>
      <c r="D35" s="448"/>
      <c r="E35" s="448"/>
      <c r="F35" s="448"/>
      <c r="G35" s="448"/>
      <c r="H35" s="448"/>
      <c r="I35" s="448"/>
      <c r="J35" s="448"/>
      <c r="K35" s="448"/>
      <c r="L35" s="448"/>
      <c r="M35" s="448"/>
    </row>
    <row r="36" spans="2:14" ht="27.65" customHeight="1" x14ac:dyDescent="0.35">
      <c r="B36" s="444" t="s">
        <v>108</v>
      </c>
      <c r="C36" s="444"/>
      <c r="D36" s="444"/>
      <c r="E36" s="444"/>
      <c r="F36" s="444"/>
      <c r="G36" s="444"/>
      <c r="H36" s="444"/>
      <c r="I36" s="444"/>
      <c r="J36" s="444"/>
      <c r="K36" s="444"/>
      <c r="L36" s="444"/>
      <c r="M36" s="444"/>
    </row>
    <row r="37" spans="2:14" ht="16.5" customHeight="1" x14ac:dyDescent="0.35">
      <c r="B37" s="31"/>
      <c r="C37" s="31"/>
      <c r="D37" s="31"/>
      <c r="E37" s="31"/>
      <c r="F37" s="31"/>
      <c r="G37" s="31"/>
      <c r="H37" s="31"/>
      <c r="I37" s="31"/>
      <c r="J37" s="31"/>
      <c r="K37" s="31"/>
      <c r="L37" s="31"/>
      <c r="M37" s="31"/>
    </row>
    <row r="38" spans="2:14" ht="16" customHeight="1" x14ac:dyDescent="0.35">
      <c r="B38" s="31"/>
      <c r="C38" s="31"/>
      <c r="D38" s="31"/>
      <c r="E38" s="31"/>
      <c r="F38" s="31"/>
      <c r="G38" s="31"/>
      <c r="H38" s="31"/>
      <c r="I38" s="470" t="s">
        <v>109</v>
      </c>
      <c r="J38" s="470"/>
      <c r="K38" s="470"/>
      <c r="L38" s="470"/>
      <c r="M38" s="470"/>
    </row>
    <row r="39" spans="2:14" ht="16" customHeight="1" x14ac:dyDescent="0.35">
      <c r="B39" s="483" t="s">
        <v>110</v>
      </c>
      <c r="C39" s="485" t="s">
        <v>87</v>
      </c>
      <c r="E39" s="485" t="s">
        <v>88</v>
      </c>
      <c r="F39" s="487" t="s">
        <v>89</v>
      </c>
      <c r="G39" s="5"/>
      <c r="H39" s="5"/>
      <c r="I39" s="475" t="s">
        <v>111</v>
      </c>
      <c r="J39" s="475"/>
      <c r="K39" s="475"/>
      <c r="L39" s="475" t="s">
        <v>112</v>
      </c>
      <c r="M39" s="475"/>
      <c r="N39" s="5"/>
    </row>
    <row r="40" spans="2:14" ht="14.5" customHeight="1" x14ac:dyDescent="0.35">
      <c r="B40" s="484"/>
      <c r="C40" s="485"/>
      <c r="D40" s="39"/>
      <c r="E40" s="486"/>
      <c r="F40" s="488"/>
      <c r="G40" s="481" t="s">
        <v>84</v>
      </c>
      <c r="H40" s="481"/>
      <c r="I40" s="353" t="s">
        <v>113</v>
      </c>
      <c r="J40" s="354" t="s">
        <v>114</v>
      </c>
      <c r="K40" s="355" t="s">
        <v>89</v>
      </c>
      <c r="L40" s="356" t="s">
        <v>115</v>
      </c>
      <c r="M40" s="357" t="s">
        <v>89</v>
      </c>
    </row>
    <row r="41" spans="2:14" ht="14.5" x14ac:dyDescent="0.35">
      <c r="B41" s="464" t="s">
        <v>116</v>
      </c>
      <c r="C41" s="452" t="s">
        <v>11</v>
      </c>
      <c r="D41" s="167"/>
      <c r="E41" s="173"/>
      <c r="F41" s="173"/>
      <c r="G41" s="481"/>
      <c r="H41" s="481"/>
      <c r="I41" s="336"/>
      <c r="J41" s="170"/>
      <c r="K41" s="171" t="s">
        <v>117</v>
      </c>
      <c r="L41" s="172"/>
      <c r="M41" s="337" t="s">
        <v>67</v>
      </c>
      <c r="N41" s="71"/>
    </row>
    <row r="42" spans="2:14" ht="14.5" x14ac:dyDescent="0.35">
      <c r="B42" s="465"/>
      <c r="C42" s="453"/>
      <c r="D42" s="168"/>
      <c r="E42" s="174"/>
      <c r="F42" s="173"/>
      <c r="G42" s="481"/>
      <c r="H42" s="481"/>
      <c r="I42" s="336"/>
      <c r="J42" s="170"/>
      <c r="K42" s="171" t="s">
        <v>117</v>
      </c>
      <c r="L42" s="172"/>
      <c r="M42" s="337" t="s">
        <v>67</v>
      </c>
      <c r="N42" s="71"/>
    </row>
    <row r="43" spans="2:14" ht="14.5" x14ac:dyDescent="0.35">
      <c r="B43" s="482"/>
      <c r="C43" s="454"/>
      <c r="D43" s="169"/>
      <c r="E43" s="174"/>
      <c r="F43" s="174"/>
      <c r="G43" s="481"/>
      <c r="H43" s="481"/>
      <c r="I43" s="336"/>
      <c r="J43" s="170"/>
      <c r="K43" s="171" t="s">
        <v>117</v>
      </c>
      <c r="L43" s="172"/>
      <c r="M43" s="337" t="s">
        <v>67</v>
      </c>
      <c r="N43" s="71"/>
    </row>
    <row r="44" spans="2:14" ht="14.5" x14ac:dyDescent="0.35">
      <c r="B44" s="464" t="s">
        <v>118</v>
      </c>
      <c r="C44" s="467" t="s">
        <v>11</v>
      </c>
      <c r="D44" s="167"/>
      <c r="E44" s="174"/>
      <c r="F44" s="174"/>
      <c r="G44" s="481"/>
      <c r="H44" s="481"/>
      <c r="I44" s="336"/>
      <c r="J44" s="170"/>
      <c r="K44" s="171" t="s">
        <v>117</v>
      </c>
      <c r="L44" s="172"/>
      <c r="M44" s="337" t="s">
        <v>67</v>
      </c>
      <c r="N44" s="71"/>
    </row>
    <row r="45" spans="2:14" ht="14.5" x14ac:dyDescent="0.35">
      <c r="B45" s="465"/>
      <c r="C45" s="468"/>
      <c r="D45" s="168"/>
      <c r="E45" s="174"/>
      <c r="F45" s="174"/>
      <c r="G45" s="481"/>
      <c r="H45" s="481"/>
      <c r="I45" s="336"/>
      <c r="J45" s="170"/>
      <c r="K45" s="171" t="s">
        <v>117</v>
      </c>
      <c r="L45" s="172"/>
      <c r="M45" s="337" t="s">
        <v>67</v>
      </c>
      <c r="N45" s="71"/>
    </row>
    <row r="46" spans="2:14" ht="14.5" x14ac:dyDescent="0.35">
      <c r="B46" s="466"/>
      <c r="C46" s="469"/>
      <c r="D46" s="169"/>
      <c r="E46" s="174"/>
      <c r="F46" s="174"/>
      <c r="G46" s="481"/>
      <c r="H46" s="481"/>
      <c r="I46" s="336"/>
      <c r="J46" s="170"/>
      <c r="K46" s="171" t="s">
        <v>117</v>
      </c>
      <c r="L46" s="172"/>
      <c r="M46" s="337" t="s">
        <v>67</v>
      </c>
      <c r="N46" s="71"/>
    </row>
    <row r="47" spans="2:14" ht="14.5" x14ac:dyDescent="0.35">
      <c r="B47" s="471" t="s">
        <v>119</v>
      </c>
      <c r="C47" s="452" t="s">
        <v>11</v>
      </c>
      <c r="D47" s="167"/>
      <c r="E47" s="174"/>
      <c r="F47" s="174"/>
      <c r="G47" s="481"/>
      <c r="H47" s="481"/>
      <c r="I47" s="472" t="s">
        <v>120</v>
      </c>
      <c r="J47" s="473"/>
      <c r="K47" s="474"/>
      <c r="L47" s="456" t="s">
        <v>120</v>
      </c>
      <c r="M47" s="457"/>
      <c r="N47" s="334"/>
    </row>
    <row r="48" spans="2:14" ht="14.5" x14ac:dyDescent="0.35">
      <c r="B48" s="465"/>
      <c r="C48" s="453"/>
      <c r="D48" s="168"/>
      <c r="E48" s="174"/>
      <c r="F48" s="174"/>
      <c r="G48" s="481"/>
      <c r="H48" s="481"/>
      <c r="I48" s="472"/>
      <c r="J48" s="473"/>
      <c r="K48" s="474"/>
      <c r="L48" s="458"/>
      <c r="M48" s="459"/>
      <c r="N48" s="334"/>
    </row>
    <row r="49" spans="2:16" ht="14.5" x14ac:dyDescent="0.35">
      <c r="B49" s="466"/>
      <c r="C49" s="454"/>
      <c r="D49" s="169"/>
      <c r="E49" s="174"/>
      <c r="F49" s="174"/>
      <c r="G49" s="481"/>
      <c r="H49" s="481"/>
      <c r="I49" s="472"/>
      <c r="J49" s="473"/>
      <c r="K49" s="474"/>
      <c r="L49" s="460"/>
      <c r="M49" s="461"/>
      <c r="N49" s="334"/>
    </row>
    <row r="50" spans="2:16" ht="14.5" x14ac:dyDescent="0.35">
      <c r="B50" s="471" t="s">
        <v>96</v>
      </c>
      <c r="C50" s="452" t="s">
        <v>11</v>
      </c>
      <c r="D50" s="167"/>
      <c r="E50" s="174"/>
      <c r="F50" s="174"/>
      <c r="G50" s="481"/>
      <c r="H50" s="481"/>
      <c r="I50" s="336"/>
      <c r="J50" s="170"/>
      <c r="K50" s="171" t="s">
        <v>117</v>
      </c>
      <c r="L50" s="172"/>
      <c r="M50" s="337" t="s">
        <v>67</v>
      </c>
      <c r="N50" s="71"/>
    </row>
    <row r="51" spans="2:16" ht="14.5" x14ac:dyDescent="0.35">
      <c r="B51" s="465"/>
      <c r="C51" s="453"/>
      <c r="D51" s="168"/>
      <c r="E51" s="174"/>
      <c r="F51" s="174"/>
      <c r="G51" s="481"/>
      <c r="H51" s="481"/>
      <c r="I51" s="336"/>
      <c r="J51" s="170"/>
      <c r="K51" s="171" t="s">
        <v>117</v>
      </c>
      <c r="L51" s="172"/>
      <c r="M51" s="337" t="s">
        <v>67</v>
      </c>
      <c r="N51" s="71"/>
    </row>
    <row r="52" spans="2:16" ht="14.5" x14ac:dyDescent="0.35">
      <c r="B52" s="466"/>
      <c r="C52" s="454"/>
      <c r="D52" s="169"/>
      <c r="E52" s="174"/>
      <c r="F52" s="174"/>
      <c r="G52" s="481"/>
      <c r="H52" s="481"/>
      <c r="I52" s="336"/>
      <c r="J52" s="170"/>
      <c r="K52" s="171" t="s">
        <v>117</v>
      </c>
      <c r="L52" s="335"/>
      <c r="M52" s="338" t="s">
        <v>67</v>
      </c>
      <c r="N52" s="71"/>
    </row>
    <row r="53" spans="2:16" ht="14.5" x14ac:dyDescent="0.35">
      <c r="B53" s="471" t="s">
        <v>121</v>
      </c>
      <c r="C53" s="452" t="s">
        <v>11</v>
      </c>
      <c r="D53" s="167"/>
      <c r="E53" s="174"/>
      <c r="F53" s="174"/>
      <c r="G53" s="481"/>
      <c r="H53" s="481"/>
      <c r="I53" s="336"/>
      <c r="J53" s="170"/>
      <c r="K53" s="171" t="s">
        <v>117</v>
      </c>
      <c r="L53" s="456" t="s">
        <v>120</v>
      </c>
      <c r="M53" s="457"/>
    </row>
    <row r="54" spans="2:16" ht="14.5" x14ac:dyDescent="0.35">
      <c r="B54" s="465"/>
      <c r="C54" s="453"/>
      <c r="D54" s="168"/>
      <c r="E54" s="174"/>
      <c r="F54" s="174"/>
      <c r="G54" s="481"/>
      <c r="H54" s="481"/>
      <c r="I54" s="336"/>
      <c r="J54" s="170"/>
      <c r="K54" s="171" t="s">
        <v>117</v>
      </c>
      <c r="L54" s="458"/>
      <c r="M54" s="459"/>
    </row>
    <row r="55" spans="2:16" ht="14.5" x14ac:dyDescent="0.35">
      <c r="B55" s="465"/>
      <c r="C55" s="454"/>
      <c r="D55" s="169"/>
      <c r="E55" s="174"/>
      <c r="F55" s="174"/>
      <c r="G55" s="481"/>
      <c r="H55" s="481"/>
      <c r="I55" s="336"/>
      <c r="J55" s="170"/>
      <c r="K55" s="171" t="s">
        <v>117</v>
      </c>
      <c r="L55" s="460"/>
      <c r="M55" s="461"/>
    </row>
    <row r="56" spans="2:16" ht="14.5" x14ac:dyDescent="0.35">
      <c r="B56" s="6"/>
      <c r="C56" s="35"/>
      <c r="E56" s="6"/>
      <c r="F56" s="132"/>
      <c r="G56" s="481"/>
      <c r="H56" s="481"/>
    </row>
    <row r="57" spans="2:16" ht="14.5" x14ac:dyDescent="0.35">
      <c r="B57" s="147" t="s">
        <v>122</v>
      </c>
      <c r="C57" s="333" t="s">
        <v>11</v>
      </c>
      <c r="D57" s="129"/>
      <c r="E57" s="166"/>
      <c r="F57" s="148" t="s">
        <v>123</v>
      </c>
      <c r="G57" s="481"/>
      <c r="H57" s="481"/>
      <c r="I57" s="443" t="s">
        <v>120</v>
      </c>
      <c r="J57" s="443"/>
      <c r="K57" s="443"/>
      <c r="L57" s="443"/>
      <c r="M57" s="443"/>
    </row>
    <row r="58" spans="2:16" ht="14.5" x14ac:dyDescent="0.35"/>
    <row r="59" spans="2:16" ht="6" customHeight="1" x14ac:dyDescent="0.35">
      <c r="B59" s="10"/>
      <c r="C59" s="10"/>
      <c r="D59" s="10"/>
      <c r="E59" s="10"/>
      <c r="F59" s="10"/>
      <c r="G59" s="10"/>
      <c r="H59" s="10"/>
      <c r="I59" s="66"/>
      <c r="J59" s="66"/>
      <c r="K59" s="66"/>
      <c r="L59" s="66"/>
      <c r="M59" s="66"/>
    </row>
    <row r="60" spans="2:16" ht="14.5" x14ac:dyDescent="0.35"/>
    <row r="61" spans="2:16" ht="18.5" x14ac:dyDescent="0.45">
      <c r="B61" s="1" t="s">
        <v>124</v>
      </c>
    </row>
    <row r="62" spans="2:16" ht="26.5" customHeight="1" x14ac:dyDescent="0.35">
      <c r="B62" s="445" t="s">
        <v>125</v>
      </c>
      <c r="C62" s="445"/>
      <c r="D62" s="445"/>
      <c r="E62" s="445"/>
      <c r="F62" s="445"/>
      <c r="G62" s="445"/>
      <c r="H62" s="445"/>
      <c r="I62" s="445"/>
      <c r="J62" s="445"/>
      <c r="K62" s="445"/>
      <c r="L62" s="445"/>
      <c r="M62" s="445"/>
    </row>
    <row r="63" spans="2:16" ht="29.5" customHeight="1" x14ac:dyDescent="0.35">
      <c r="B63" s="444" t="s">
        <v>126</v>
      </c>
      <c r="C63" s="444"/>
      <c r="D63" s="444"/>
      <c r="E63" s="444"/>
      <c r="F63" s="444"/>
      <c r="G63" s="444"/>
      <c r="H63" s="444"/>
      <c r="I63" s="444"/>
      <c r="J63" s="444"/>
      <c r="K63" s="444"/>
      <c r="L63" s="444"/>
      <c r="M63" s="444"/>
    </row>
    <row r="64" spans="2:16" ht="14.5" x14ac:dyDescent="0.35">
      <c r="B64" s="60"/>
      <c r="C64" s="60"/>
      <c r="D64" s="60"/>
      <c r="E64" s="60"/>
      <c r="F64" s="60"/>
      <c r="G64" s="60"/>
      <c r="H64" s="60"/>
      <c r="I64" s="27"/>
      <c r="J64" s="27"/>
      <c r="K64" s="27"/>
      <c r="L64" s="27"/>
      <c r="M64" s="27"/>
      <c r="P64" t="s">
        <v>127</v>
      </c>
    </row>
    <row r="65" spans="2:13" ht="14.5" x14ac:dyDescent="0.35">
      <c r="B65" s="14" t="s">
        <v>128</v>
      </c>
    </row>
    <row r="66" spans="2:13" ht="14.5" x14ac:dyDescent="0.35">
      <c r="B66" s="342" t="s">
        <v>129</v>
      </c>
      <c r="C66" s="24" t="s">
        <v>130</v>
      </c>
      <c r="D66" s="25"/>
      <c r="E66" s="24" t="s">
        <v>131</v>
      </c>
      <c r="F66" s="24" t="s">
        <v>89</v>
      </c>
    </row>
    <row r="67" spans="2:13" ht="14.5" x14ac:dyDescent="0.35">
      <c r="B67" s="151">
        <v>1</v>
      </c>
      <c r="C67" s="152"/>
      <c r="D67" s="153"/>
      <c r="E67" s="154"/>
      <c r="F67" s="155" t="s">
        <v>123</v>
      </c>
    </row>
    <row r="68" spans="2:13" ht="14.5" x14ac:dyDescent="0.35">
      <c r="B68" s="156">
        <v>2</v>
      </c>
      <c r="C68" s="157"/>
      <c r="D68" s="157"/>
      <c r="E68" s="159"/>
      <c r="F68" s="160" t="s">
        <v>123</v>
      </c>
    </row>
    <row r="69" spans="2:13" ht="14.5" x14ac:dyDescent="0.35">
      <c r="B69" s="156">
        <v>3</v>
      </c>
      <c r="C69" s="157"/>
      <c r="D69" s="158"/>
      <c r="E69" s="159"/>
      <c r="F69" s="160" t="s">
        <v>123</v>
      </c>
    </row>
    <row r="70" spans="2:13" ht="14.5" x14ac:dyDescent="0.35">
      <c r="B70" s="156">
        <v>4</v>
      </c>
      <c r="C70" s="157"/>
      <c r="D70" s="158"/>
      <c r="E70" s="159"/>
      <c r="F70" s="160" t="s">
        <v>123</v>
      </c>
    </row>
    <row r="71" spans="2:13" ht="14.5" x14ac:dyDescent="0.35">
      <c r="B71" s="156">
        <v>5</v>
      </c>
      <c r="C71" s="157"/>
      <c r="D71" s="158"/>
      <c r="E71" s="159"/>
      <c r="F71" s="160" t="s">
        <v>123</v>
      </c>
    </row>
    <row r="72" spans="2:13" ht="14.5" x14ac:dyDescent="0.35">
      <c r="B72" s="156">
        <v>6</v>
      </c>
      <c r="C72" s="157"/>
      <c r="D72" s="158"/>
      <c r="E72" s="159"/>
      <c r="F72" s="160" t="s">
        <v>123</v>
      </c>
    </row>
    <row r="73" spans="2:13" ht="14.5" x14ac:dyDescent="0.35">
      <c r="B73" s="156">
        <v>7</v>
      </c>
      <c r="C73" s="157"/>
      <c r="D73" s="158"/>
      <c r="E73" s="159"/>
      <c r="F73" s="160" t="s">
        <v>123</v>
      </c>
    </row>
    <row r="74" spans="2:13" ht="14.5" x14ac:dyDescent="0.35">
      <c r="B74" s="156">
        <v>8</v>
      </c>
      <c r="C74" s="157"/>
      <c r="D74" s="158"/>
      <c r="E74" s="159"/>
      <c r="F74" s="160" t="s">
        <v>123</v>
      </c>
    </row>
    <row r="75" spans="2:13" ht="14.5" x14ac:dyDescent="0.35">
      <c r="B75" s="156">
        <v>9</v>
      </c>
      <c r="C75" s="157"/>
      <c r="D75" s="158"/>
      <c r="E75" s="159"/>
      <c r="F75" s="160" t="s">
        <v>123</v>
      </c>
    </row>
    <row r="76" spans="2:13" ht="14.5" x14ac:dyDescent="0.35">
      <c r="B76" s="161">
        <v>10</v>
      </c>
      <c r="C76" s="162"/>
      <c r="D76" s="163"/>
      <c r="E76" s="164"/>
      <c r="F76" s="165" t="s">
        <v>123</v>
      </c>
    </row>
    <row r="77" spans="2:13" ht="21.65" customHeight="1" x14ac:dyDescent="0.35">
      <c r="B77" s="35"/>
      <c r="C77" s="35"/>
      <c r="D77" s="35"/>
      <c r="E77" s="35"/>
      <c r="F77" s="27"/>
    </row>
    <row r="78" spans="2:13" ht="22.5" customHeight="1" x14ac:dyDescent="0.35">
      <c r="B78" s="451" t="s">
        <v>135</v>
      </c>
      <c r="C78" s="451"/>
      <c r="D78" s="451"/>
      <c r="E78" s="451"/>
      <c r="F78" s="451"/>
      <c r="G78" s="451"/>
      <c r="H78" s="451"/>
      <c r="I78" s="451"/>
      <c r="J78" s="451"/>
      <c r="K78" s="451"/>
      <c r="L78" s="451"/>
      <c r="M78" s="451"/>
    </row>
    <row r="79" spans="2:13" ht="16.5" x14ac:dyDescent="0.45">
      <c r="B79" s="476" t="s">
        <v>136</v>
      </c>
      <c r="C79" s="476"/>
      <c r="D79" s="476"/>
      <c r="E79" s="477"/>
      <c r="F79" s="150"/>
      <c r="G79" t="s">
        <v>43</v>
      </c>
    </row>
    <row r="80" spans="2:13" ht="14.5" x14ac:dyDescent="0.35">
      <c r="B80" s="4"/>
    </row>
    <row r="81" spans="2:13" ht="6" customHeight="1" x14ac:dyDescent="0.35">
      <c r="B81" s="23"/>
      <c r="C81" s="10"/>
      <c r="D81" s="10"/>
      <c r="E81" s="10"/>
      <c r="F81" s="10"/>
      <c r="G81" s="10"/>
      <c r="H81" s="10"/>
      <c r="I81" s="66"/>
      <c r="J81" s="66"/>
      <c r="K81" s="66"/>
      <c r="L81" s="66"/>
      <c r="M81" s="66"/>
    </row>
    <row r="82" spans="2:13" ht="14.5" x14ac:dyDescent="0.35"/>
    <row r="83" spans="2:13" ht="14.5" x14ac:dyDescent="0.35">
      <c r="B83" s="28" t="s">
        <v>137</v>
      </c>
    </row>
    <row r="84" spans="2:13" ht="15.5" x14ac:dyDescent="0.35">
      <c r="B84" s="2" t="s">
        <v>138</v>
      </c>
      <c r="G84" s="149" t="s">
        <v>11</v>
      </c>
      <c r="H84" s="6"/>
      <c r="L84" s="29"/>
      <c r="M84" s="29"/>
    </row>
    <row r="85" spans="2:13" ht="15.5" x14ac:dyDescent="0.35">
      <c r="B85" s="2"/>
      <c r="G85" s="6"/>
      <c r="H85" s="6"/>
      <c r="L85" s="29"/>
      <c r="M85" s="29"/>
    </row>
    <row r="86" spans="2:13" ht="14.5" x14ac:dyDescent="0.35">
      <c r="B86" s="30" t="s">
        <v>139</v>
      </c>
    </row>
    <row r="87" spans="2:13" ht="14.5" x14ac:dyDescent="0.35"/>
    <row r="88" spans="2:13" ht="18.5" x14ac:dyDescent="0.45">
      <c r="B88" s="1" t="s">
        <v>140</v>
      </c>
    </row>
    <row r="89" spans="2:13" ht="14.5" customHeight="1" x14ac:dyDescent="0.35">
      <c r="B89" s="445" t="s">
        <v>141</v>
      </c>
      <c r="C89" s="445"/>
      <c r="D89" s="445"/>
      <c r="E89" s="445"/>
      <c r="F89" s="445"/>
      <c r="G89" s="445"/>
      <c r="H89" s="445"/>
      <c r="I89" s="445"/>
      <c r="J89" s="445"/>
      <c r="K89" s="445"/>
      <c r="L89" s="445"/>
      <c r="M89" s="445"/>
    </row>
    <row r="90" spans="2:13" ht="28.5" customHeight="1" x14ac:dyDescent="0.35">
      <c r="B90" s="444" t="s">
        <v>142</v>
      </c>
      <c r="C90" s="444"/>
      <c r="D90" s="444"/>
      <c r="E90" s="444"/>
      <c r="F90" s="444"/>
      <c r="G90" s="444"/>
      <c r="H90" s="444"/>
      <c r="I90" s="444"/>
      <c r="J90" s="444"/>
      <c r="K90" s="444"/>
      <c r="L90" s="444"/>
      <c r="M90" s="444"/>
    </row>
    <row r="91" spans="2:13" ht="14.5" x14ac:dyDescent="0.35">
      <c r="B91" s="373"/>
      <c r="C91" s="373"/>
      <c r="D91" s="373"/>
      <c r="E91" s="373"/>
      <c r="F91" s="373"/>
      <c r="G91" s="373"/>
      <c r="H91" s="373"/>
      <c r="I91" s="374"/>
      <c r="J91" s="374"/>
      <c r="K91" s="374"/>
      <c r="L91" s="374"/>
      <c r="M91" s="374"/>
    </row>
    <row r="92" spans="2:13" ht="15.5" x14ac:dyDescent="0.35">
      <c r="B92" s="375" t="s">
        <v>143</v>
      </c>
      <c r="C92" s="60"/>
      <c r="D92" s="60"/>
      <c r="E92" s="60"/>
      <c r="F92" s="60"/>
      <c r="G92" s="27"/>
      <c r="H92" s="27"/>
    </row>
    <row r="93" spans="2:13" ht="57" customHeight="1" x14ac:dyDescent="0.35">
      <c r="B93" s="446" t="s">
        <v>144</v>
      </c>
      <c r="C93" s="446"/>
      <c r="D93" s="446"/>
      <c r="E93" s="446"/>
      <c r="F93" s="446"/>
      <c r="G93" s="446"/>
      <c r="H93" s="446"/>
      <c r="I93" s="446"/>
      <c r="J93" s="446"/>
      <c r="K93" s="446"/>
      <c r="L93" s="446"/>
      <c r="M93" s="446"/>
    </row>
    <row r="94" spans="2:13" ht="14.5" x14ac:dyDescent="0.35">
      <c r="B94" s="9" t="s">
        <v>145</v>
      </c>
      <c r="E94" s="376" t="s">
        <v>146</v>
      </c>
      <c r="G94" s="455" t="s">
        <v>147</v>
      </c>
      <c r="H94" s="455"/>
      <c r="I94" s="455"/>
    </row>
    <row r="95" spans="2:13" ht="14.5" x14ac:dyDescent="0.35">
      <c r="B95" s="463" t="s">
        <v>148</v>
      </c>
      <c r="C95" s="463"/>
      <c r="D95" s="377"/>
      <c r="E95" s="386"/>
      <c r="G95" s="442"/>
      <c r="H95" s="442"/>
      <c r="I95" s="442"/>
    </row>
    <row r="96" spans="2:13" ht="14.5" x14ac:dyDescent="0.35">
      <c r="B96" s="463" t="s">
        <v>149</v>
      </c>
      <c r="C96" s="463"/>
      <c r="D96" s="377"/>
      <c r="E96" s="386"/>
      <c r="G96" s="442"/>
      <c r="H96" s="442"/>
      <c r="I96" s="442"/>
    </row>
    <row r="97" spans="2:13" ht="14.5" x14ac:dyDescent="0.35">
      <c r="B97" s="463" t="s">
        <v>150</v>
      </c>
      <c r="C97" s="463"/>
      <c r="D97" s="377"/>
      <c r="E97" s="386"/>
      <c r="G97" s="442"/>
      <c r="H97" s="442"/>
      <c r="I97" s="442"/>
    </row>
    <row r="98" spans="2:13" ht="14.5" x14ac:dyDescent="0.35">
      <c r="B98" s="463" t="s">
        <v>151</v>
      </c>
      <c r="C98" s="463"/>
      <c r="D98" s="377"/>
      <c r="E98" s="386"/>
      <c r="G98" s="442"/>
      <c r="H98" s="442"/>
      <c r="I98" s="442"/>
    </row>
    <row r="99" spans="2:13" ht="14.5" x14ac:dyDescent="0.35">
      <c r="B99" s="463" t="s">
        <v>152</v>
      </c>
      <c r="C99" s="463"/>
      <c r="D99" s="377"/>
      <c r="E99" s="386"/>
      <c r="G99" s="442"/>
      <c r="H99" s="442"/>
      <c r="I99" s="442"/>
    </row>
    <row r="100" spans="2:13" ht="14.5" x14ac:dyDescent="0.35">
      <c r="B100" s="463" t="s">
        <v>153</v>
      </c>
      <c r="C100" s="463"/>
      <c r="D100" s="377"/>
      <c r="E100" s="386"/>
      <c r="G100" s="442"/>
      <c r="H100" s="442"/>
      <c r="I100" s="442"/>
    </row>
    <row r="101" spans="2:13" ht="14.5" x14ac:dyDescent="0.35">
      <c r="B101" s="463" t="s">
        <v>154</v>
      </c>
      <c r="C101" s="463"/>
      <c r="D101" s="377"/>
      <c r="E101" s="386"/>
      <c r="G101" s="442"/>
      <c r="H101" s="442"/>
      <c r="I101" s="442"/>
    </row>
    <row r="102" spans="2:13" ht="14.5" x14ac:dyDescent="0.35">
      <c r="B102" s="463" t="s">
        <v>155</v>
      </c>
      <c r="C102" s="463"/>
      <c r="D102" s="377"/>
      <c r="E102" s="386"/>
      <c r="G102" s="442"/>
      <c r="H102" s="442"/>
      <c r="I102" s="442"/>
    </row>
    <row r="103" spans="2:13" ht="9" customHeight="1" x14ac:dyDescent="0.35">
      <c r="E103" s="35"/>
      <c r="G103" s="378"/>
    </row>
    <row r="104" spans="2:13" ht="14.5" x14ac:dyDescent="0.35">
      <c r="B104" s="450" t="s">
        <v>156</v>
      </c>
      <c r="C104" s="451"/>
      <c r="D104" s="451"/>
      <c r="E104" s="451"/>
      <c r="F104" s="451"/>
      <c r="G104" s="451"/>
      <c r="H104" s="451"/>
      <c r="I104" s="451"/>
      <c r="J104" s="451"/>
      <c r="K104" s="451"/>
      <c r="L104" s="451"/>
      <c r="M104" s="451"/>
    </row>
    <row r="105" spans="2:13" ht="9" customHeight="1" x14ac:dyDescent="0.35"/>
    <row r="106" spans="2:13" ht="15.5" x14ac:dyDescent="0.35">
      <c r="B106" s="375" t="s">
        <v>157</v>
      </c>
    </row>
    <row r="107" spans="2:13" ht="31" customHeight="1" x14ac:dyDescent="0.35">
      <c r="B107" s="462" t="s">
        <v>158</v>
      </c>
      <c r="C107" s="462"/>
      <c r="D107" s="462"/>
      <c r="E107" s="462"/>
      <c r="F107" s="462"/>
      <c r="G107" s="462"/>
      <c r="H107" s="462"/>
      <c r="I107" s="462"/>
      <c r="J107" s="462"/>
      <c r="K107" s="462"/>
      <c r="L107" s="462"/>
      <c r="M107" s="462"/>
    </row>
    <row r="108" spans="2:13" ht="14.5" x14ac:dyDescent="0.35">
      <c r="B108" s="379" t="s">
        <v>159</v>
      </c>
      <c r="F108" s="380" t="s">
        <v>88</v>
      </c>
      <c r="G108" s="381" t="s">
        <v>89</v>
      </c>
    </row>
    <row r="109" spans="2:13" ht="35.15" customHeight="1" x14ac:dyDescent="0.35">
      <c r="B109" s="478" t="s">
        <v>160</v>
      </c>
      <c r="C109" s="478"/>
      <c r="D109" s="478"/>
      <c r="E109" s="478"/>
      <c r="F109" s="387"/>
      <c r="G109" s="388"/>
    </row>
    <row r="110" spans="2:13" ht="35.15" customHeight="1" x14ac:dyDescent="0.35">
      <c r="B110" s="479" t="s">
        <v>161</v>
      </c>
      <c r="C110" s="479"/>
      <c r="D110" s="479"/>
      <c r="E110" s="479"/>
      <c r="F110" s="387"/>
      <c r="G110" s="388"/>
    </row>
    <row r="111" spans="2:13" ht="35.15" customHeight="1" x14ac:dyDescent="0.35">
      <c r="B111" s="479" t="s">
        <v>162</v>
      </c>
      <c r="C111" s="479"/>
      <c r="D111" s="479"/>
      <c r="E111" s="479"/>
      <c r="F111" s="387"/>
      <c r="G111" s="388"/>
    </row>
    <row r="112" spans="2:13" ht="35.15" customHeight="1" x14ac:dyDescent="0.35">
      <c r="B112" s="479" t="s">
        <v>163</v>
      </c>
      <c r="C112" s="479"/>
      <c r="D112" s="479"/>
      <c r="E112" s="479"/>
      <c r="F112" s="387"/>
      <c r="G112" s="388"/>
    </row>
    <row r="113" spans="2:13" ht="35.15" customHeight="1" x14ac:dyDescent="0.35">
      <c r="B113" s="479" t="s">
        <v>164</v>
      </c>
      <c r="C113" s="479"/>
      <c r="D113" s="479"/>
      <c r="E113" s="479"/>
      <c r="F113" s="387"/>
      <c r="G113" s="388"/>
    </row>
    <row r="114" spans="2:13" ht="11.15" customHeight="1" x14ac:dyDescent="0.35">
      <c r="E114" s="27"/>
      <c r="F114" s="27"/>
      <c r="G114" s="27"/>
    </row>
    <row r="115" spans="2:13" ht="20.149999999999999" customHeight="1" x14ac:dyDescent="0.35">
      <c r="B115" s="450" t="s">
        <v>165</v>
      </c>
      <c r="C115" s="451"/>
      <c r="D115" s="451"/>
      <c r="E115" s="451"/>
      <c r="F115" s="451"/>
      <c r="G115" s="451"/>
      <c r="H115" s="451"/>
      <c r="I115" s="451"/>
      <c r="J115" s="451"/>
      <c r="K115" s="451"/>
      <c r="L115" s="451"/>
      <c r="M115" s="451"/>
    </row>
    <row r="116" spans="2:13" ht="6" customHeight="1" x14ac:dyDescent="0.35">
      <c r="B116" s="11"/>
      <c r="C116" s="11"/>
      <c r="D116" s="11"/>
      <c r="E116" s="11"/>
      <c r="F116" s="11"/>
      <c r="G116" s="11"/>
      <c r="H116" s="11"/>
      <c r="I116" s="67"/>
      <c r="J116" s="67"/>
      <c r="K116" s="67"/>
      <c r="L116" s="67"/>
      <c r="M116" s="67"/>
    </row>
    <row r="117" spans="2:13" ht="6" customHeight="1" x14ac:dyDescent="0.35">
      <c r="B117" s="10"/>
      <c r="C117" s="10"/>
      <c r="D117" s="10"/>
      <c r="E117" s="10"/>
      <c r="F117" s="10"/>
      <c r="G117" s="10"/>
      <c r="H117" s="10"/>
      <c r="I117" s="66"/>
      <c r="J117" s="66"/>
      <c r="K117" s="66"/>
      <c r="L117" s="66"/>
      <c r="M117" s="66"/>
    </row>
    <row r="118" spans="2:13" ht="20.149999999999999" customHeight="1" x14ac:dyDescent="0.35"/>
    <row r="119" spans="2:13" ht="20.149999999999999" hidden="1" customHeight="1" x14ac:dyDescent="0.35">
      <c r="E119" s="390" t="s">
        <v>166</v>
      </c>
    </row>
    <row r="120" spans="2:13" ht="20.149999999999999" hidden="1" customHeight="1" x14ac:dyDescent="0.35">
      <c r="B120" t="s">
        <v>167</v>
      </c>
      <c r="E120" s="391" t="s">
        <v>168</v>
      </c>
    </row>
    <row r="121" spans="2:13" ht="20.149999999999999" hidden="1" customHeight="1" x14ac:dyDescent="0.35">
      <c r="B121" t="s">
        <v>169</v>
      </c>
      <c r="E121" s="391" t="s">
        <v>170</v>
      </c>
    </row>
    <row r="122" spans="2:13" ht="20.149999999999999" hidden="1" customHeight="1" x14ac:dyDescent="0.35">
      <c r="B122" t="s">
        <v>68</v>
      </c>
      <c r="E122" s="391" t="s">
        <v>171</v>
      </c>
    </row>
    <row r="123" spans="2:13" ht="20.149999999999999" hidden="1" customHeight="1" x14ac:dyDescent="0.35">
      <c r="B123" t="s">
        <v>72</v>
      </c>
      <c r="E123" s="390" t="s">
        <v>172</v>
      </c>
    </row>
    <row r="124" spans="2:13" ht="20.149999999999999" hidden="1" customHeight="1" x14ac:dyDescent="0.35">
      <c r="B124" t="s">
        <v>75</v>
      </c>
      <c r="E124" s="390" t="s">
        <v>173</v>
      </c>
    </row>
    <row r="125" spans="2:13" ht="20.149999999999999" hidden="1" customHeight="1" x14ac:dyDescent="0.35">
      <c r="B125" t="s">
        <v>174</v>
      </c>
      <c r="E125" s="390" t="s">
        <v>175</v>
      </c>
    </row>
    <row r="126" spans="2:13" ht="20.149999999999999" hidden="1" customHeight="1" x14ac:dyDescent="0.35">
      <c r="B126" t="s">
        <v>176</v>
      </c>
      <c r="E126" s="390" t="s">
        <v>177</v>
      </c>
    </row>
    <row r="127" spans="2:13" ht="20.149999999999999" hidden="1" customHeight="1" x14ac:dyDescent="0.35">
      <c r="B127" t="s">
        <v>67</v>
      </c>
      <c r="E127" s="390" t="s">
        <v>178</v>
      </c>
    </row>
    <row r="128" spans="2:13" ht="20.149999999999999" hidden="1" customHeight="1" x14ac:dyDescent="0.35">
      <c r="E128" s="390" t="s">
        <v>179</v>
      </c>
    </row>
    <row r="129" spans="5:5" ht="20.149999999999999" hidden="1" customHeight="1" x14ac:dyDescent="0.35">
      <c r="E129" s="390" t="s">
        <v>180</v>
      </c>
    </row>
    <row r="130" spans="5:5" ht="20.149999999999999" hidden="1" customHeight="1" x14ac:dyDescent="0.35">
      <c r="E130" s="390" t="s">
        <v>181</v>
      </c>
    </row>
    <row r="131" spans="5:5" ht="20.149999999999999" hidden="1" customHeight="1" x14ac:dyDescent="0.35">
      <c r="E131" s="390" t="s">
        <v>182</v>
      </c>
    </row>
    <row r="132" spans="5:5" ht="20.149999999999999" hidden="1" customHeight="1" x14ac:dyDescent="0.35">
      <c r="E132" s="390" t="s">
        <v>183</v>
      </c>
    </row>
    <row r="133" spans="5:5" ht="20.149999999999999" hidden="1" customHeight="1" x14ac:dyDescent="0.35">
      <c r="E133" s="390" t="s">
        <v>184</v>
      </c>
    </row>
    <row r="134" spans="5:5" ht="20.149999999999999" hidden="1" customHeight="1" x14ac:dyDescent="0.35">
      <c r="E134" s="390" t="s">
        <v>185</v>
      </c>
    </row>
    <row r="135" spans="5:5" ht="20.149999999999999" hidden="1" customHeight="1" x14ac:dyDescent="0.35">
      <c r="E135" s="390" t="s">
        <v>186</v>
      </c>
    </row>
    <row r="136" spans="5:5" ht="20.149999999999999" hidden="1" customHeight="1" x14ac:dyDescent="0.35">
      <c r="E136" s="390" t="s">
        <v>187</v>
      </c>
    </row>
    <row r="137" spans="5:5" ht="20.149999999999999" hidden="1" customHeight="1" x14ac:dyDescent="0.35">
      <c r="E137" s="390" t="s">
        <v>188</v>
      </c>
    </row>
    <row r="138" spans="5:5" ht="20.149999999999999" hidden="1" customHeight="1" x14ac:dyDescent="0.35">
      <c r="E138" s="390" t="s">
        <v>189</v>
      </c>
    </row>
    <row r="139" spans="5:5" ht="20.149999999999999" hidden="1" customHeight="1" x14ac:dyDescent="0.35">
      <c r="E139" s="390" t="s">
        <v>190</v>
      </c>
    </row>
    <row r="140" spans="5:5" ht="20.149999999999999" hidden="1" customHeight="1" x14ac:dyDescent="0.35">
      <c r="E140" s="390" t="s">
        <v>191</v>
      </c>
    </row>
    <row r="141" spans="5:5" ht="20.149999999999999" hidden="1" customHeight="1" x14ac:dyDescent="0.35">
      <c r="E141" s="390" t="s">
        <v>192</v>
      </c>
    </row>
    <row r="142" spans="5:5" ht="20.149999999999999" hidden="1" customHeight="1" x14ac:dyDescent="0.35">
      <c r="E142" s="390" t="s">
        <v>193</v>
      </c>
    </row>
    <row r="143" spans="5:5" ht="20.149999999999999" hidden="1" customHeight="1" x14ac:dyDescent="0.35">
      <c r="E143" s="390" t="s">
        <v>194</v>
      </c>
    </row>
    <row r="144" spans="5:5" ht="20.149999999999999" hidden="1" customHeight="1" x14ac:dyDescent="0.35">
      <c r="E144" s="390" t="s">
        <v>195</v>
      </c>
    </row>
    <row r="145" spans="5:5" ht="20.149999999999999" hidden="1" customHeight="1" x14ac:dyDescent="0.35">
      <c r="E145" s="390" t="s">
        <v>196</v>
      </c>
    </row>
    <row r="146" spans="5:5" ht="20.149999999999999" hidden="1" customHeight="1" x14ac:dyDescent="0.35">
      <c r="E146" s="390" t="s">
        <v>197</v>
      </c>
    </row>
    <row r="147" spans="5:5" ht="20.149999999999999" hidden="1" customHeight="1" x14ac:dyDescent="0.35">
      <c r="E147" s="390" t="s">
        <v>198</v>
      </c>
    </row>
    <row r="148" spans="5:5" ht="20.149999999999999" hidden="1" customHeight="1" x14ac:dyDescent="0.35">
      <c r="E148" s="390" t="s">
        <v>199</v>
      </c>
    </row>
    <row r="149" spans="5:5" ht="20.149999999999999" hidden="1" customHeight="1" x14ac:dyDescent="0.35">
      <c r="E149" s="390" t="s">
        <v>200</v>
      </c>
    </row>
    <row r="150" spans="5:5" ht="20.149999999999999" hidden="1" customHeight="1" x14ac:dyDescent="0.35">
      <c r="E150" s="390" t="s">
        <v>201</v>
      </c>
    </row>
    <row r="151" spans="5:5" ht="20.149999999999999" hidden="1" customHeight="1" x14ac:dyDescent="0.35">
      <c r="E151" s="390" t="s">
        <v>202</v>
      </c>
    </row>
    <row r="152" spans="5:5" ht="20.149999999999999" hidden="1" customHeight="1" x14ac:dyDescent="0.35">
      <c r="E152" s="390" t="s">
        <v>203</v>
      </c>
    </row>
    <row r="153" spans="5:5" ht="20.149999999999999" hidden="1" customHeight="1" x14ac:dyDescent="0.35">
      <c r="E153" s="390" t="s">
        <v>204</v>
      </c>
    </row>
    <row r="154" spans="5:5" ht="20.149999999999999" hidden="1" customHeight="1" x14ac:dyDescent="0.35">
      <c r="E154" s="390" t="s">
        <v>205</v>
      </c>
    </row>
    <row r="155" spans="5:5" ht="20.149999999999999" hidden="1" customHeight="1" x14ac:dyDescent="0.35">
      <c r="E155" s="390" t="s">
        <v>206</v>
      </c>
    </row>
    <row r="156" spans="5:5" ht="20.149999999999999" hidden="1" customHeight="1" x14ac:dyDescent="0.35">
      <c r="E156" s="390" t="s">
        <v>207</v>
      </c>
    </row>
    <row r="157" spans="5:5" ht="20.149999999999999" hidden="1" customHeight="1" x14ac:dyDescent="0.35">
      <c r="E157" s="390" t="s">
        <v>208</v>
      </c>
    </row>
    <row r="158" spans="5:5" ht="20.149999999999999" hidden="1" customHeight="1" x14ac:dyDescent="0.35">
      <c r="E158" s="390" t="s">
        <v>209</v>
      </c>
    </row>
    <row r="159" spans="5:5" ht="20.149999999999999" hidden="1" customHeight="1" x14ac:dyDescent="0.35">
      <c r="E159" s="390" t="s">
        <v>210</v>
      </c>
    </row>
    <row r="160" spans="5:5" ht="20.149999999999999" hidden="1" customHeight="1" x14ac:dyDescent="0.35">
      <c r="E160" s="390" t="s">
        <v>211</v>
      </c>
    </row>
    <row r="161" spans="5:5" ht="20.149999999999999" hidden="1" customHeight="1" x14ac:dyDescent="0.35">
      <c r="E161" s="390" t="s">
        <v>212</v>
      </c>
    </row>
    <row r="162" spans="5:5" ht="20.149999999999999" hidden="1" customHeight="1" x14ac:dyDescent="0.35">
      <c r="E162" s="390" t="s">
        <v>213</v>
      </c>
    </row>
    <row r="163" spans="5:5" ht="20.149999999999999" hidden="1" customHeight="1" x14ac:dyDescent="0.35">
      <c r="E163" s="390" t="s">
        <v>214</v>
      </c>
    </row>
    <row r="164" spans="5:5" ht="20.149999999999999" hidden="1" customHeight="1" x14ac:dyDescent="0.35">
      <c r="E164" s="390" t="s">
        <v>215</v>
      </c>
    </row>
    <row r="165" spans="5:5" ht="20.149999999999999" hidden="1" customHeight="1" x14ac:dyDescent="0.35">
      <c r="E165" s="390" t="s">
        <v>216</v>
      </c>
    </row>
    <row r="166" spans="5:5" ht="20.149999999999999" hidden="1" customHeight="1" x14ac:dyDescent="0.35">
      <c r="E166" s="390" t="s">
        <v>217</v>
      </c>
    </row>
    <row r="167" spans="5:5" ht="20.149999999999999" hidden="1" customHeight="1" x14ac:dyDescent="0.35">
      <c r="E167" s="390" t="s">
        <v>218</v>
      </c>
    </row>
    <row r="168" spans="5:5" ht="20.149999999999999" hidden="1" customHeight="1" x14ac:dyDescent="0.35">
      <c r="E168" s="390" t="s">
        <v>219</v>
      </c>
    </row>
    <row r="169" spans="5:5" ht="20.149999999999999" hidden="1" customHeight="1" x14ac:dyDescent="0.35">
      <c r="E169" s="390" t="s">
        <v>220</v>
      </c>
    </row>
    <row r="170" spans="5:5" ht="20.149999999999999" hidden="1" customHeight="1" x14ac:dyDescent="0.35">
      <c r="E170" s="390" t="s">
        <v>221</v>
      </c>
    </row>
    <row r="171" spans="5:5" ht="20.149999999999999" hidden="1" customHeight="1" x14ac:dyDescent="0.35">
      <c r="E171" s="390" t="s">
        <v>222</v>
      </c>
    </row>
    <row r="172" spans="5:5" ht="20.149999999999999" hidden="1" customHeight="1" x14ac:dyDescent="0.35">
      <c r="E172" s="390" t="s">
        <v>223</v>
      </c>
    </row>
    <row r="173" spans="5:5" ht="20.149999999999999" hidden="1" customHeight="1" x14ac:dyDescent="0.35">
      <c r="E173" s="390" t="s">
        <v>224</v>
      </c>
    </row>
    <row r="174" spans="5:5" ht="20.149999999999999" hidden="1" customHeight="1" x14ac:dyDescent="0.35">
      <c r="E174" s="390" t="s">
        <v>225</v>
      </c>
    </row>
    <row r="175" spans="5:5" ht="20.149999999999999" hidden="1" customHeight="1" x14ac:dyDescent="0.35">
      <c r="E175" s="390" t="s">
        <v>226</v>
      </c>
    </row>
    <row r="176" spans="5:5" ht="20.149999999999999" hidden="1" customHeight="1" x14ac:dyDescent="0.35">
      <c r="E176" s="390" t="s">
        <v>227</v>
      </c>
    </row>
    <row r="177" spans="5:5" ht="20.149999999999999" hidden="1" customHeight="1" x14ac:dyDescent="0.35">
      <c r="E177" s="390" t="s">
        <v>228</v>
      </c>
    </row>
    <row r="178" spans="5:5" ht="20.149999999999999" hidden="1" customHeight="1" x14ac:dyDescent="0.35">
      <c r="E178" s="390" t="s">
        <v>229</v>
      </c>
    </row>
    <row r="179" spans="5:5" ht="20.149999999999999" hidden="1" customHeight="1" x14ac:dyDescent="0.35">
      <c r="E179" s="390" t="s">
        <v>230</v>
      </c>
    </row>
    <row r="180" spans="5:5" ht="20.149999999999999" hidden="1" customHeight="1" x14ac:dyDescent="0.35">
      <c r="E180" s="390" t="s">
        <v>231</v>
      </c>
    </row>
    <row r="181" spans="5:5" ht="20.149999999999999" hidden="1" customHeight="1" x14ac:dyDescent="0.35">
      <c r="E181" s="390" t="s">
        <v>232</v>
      </c>
    </row>
    <row r="182" spans="5:5" ht="20.149999999999999" hidden="1" customHeight="1" x14ac:dyDescent="0.35">
      <c r="E182" s="390" t="s">
        <v>233</v>
      </c>
    </row>
    <row r="183" spans="5:5" ht="20.149999999999999" hidden="1" customHeight="1" x14ac:dyDescent="0.35">
      <c r="E183" s="390" t="s">
        <v>234</v>
      </c>
    </row>
    <row r="184" spans="5:5" ht="20.149999999999999" hidden="1" customHeight="1" x14ac:dyDescent="0.35">
      <c r="E184" s="390" t="s">
        <v>235</v>
      </c>
    </row>
    <row r="185" spans="5:5" ht="20.149999999999999" hidden="1" customHeight="1" x14ac:dyDescent="0.35">
      <c r="E185" s="390" t="s">
        <v>132</v>
      </c>
    </row>
    <row r="186" spans="5:5" ht="20.149999999999999" hidden="1" customHeight="1" x14ac:dyDescent="0.35">
      <c r="E186" s="390" t="s">
        <v>236</v>
      </c>
    </row>
    <row r="187" spans="5:5" ht="20.149999999999999" hidden="1" customHeight="1" x14ac:dyDescent="0.35">
      <c r="E187" s="390" t="s">
        <v>237</v>
      </c>
    </row>
    <row r="188" spans="5:5" ht="20.149999999999999" hidden="1" customHeight="1" x14ac:dyDescent="0.35">
      <c r="E188" s="390" t="s">
        <v>238</v>
      </c>
    </row>
    <row r="189" spans="5:5" ht="20.149999999999999" hidden="1" customHeight="1" x14ac:dyDescent="0.35">
      <c r="E189" s="390" t="s">
        <v>239</v>
      </c>
    </row>
    <row r="190" spans="5:5" ht="20.149999999999999" hidden="1" customHeight="1" x14ac:dyDescent="0.35">
      <c r="E190" s="390" t="s">
        <v>240</v>
      </c>
    </row>
    <row r="191" spans="5:5" ht="20.149999999999999" hidden="1" customHeight="1" x14ac:dyDescent="0.35">
      <c r="E191" s="390" t="s">
        <v>241</v>
      </c>
    </row>
    <row r="192" spans="5:5" ht="20.149999999999999" hidden="1" customHeight="1" x14ac:dyDescent="0.35">
      <c r="E192" s="390" t="s">
        <v>242</v>
      </c>
    </row>
    <row r="193" spans="5:5" ht="20.149999999999999" hidden="1" customHeight="1" x14ac:dyDescent="0.35">
      <c r="E193" s="390" t="s">
        <v>243</v>
      </c>
    </row>
    <row r="194" spans="5:5" ht="20.149999999999999" hidden="1" customHeight="1" x14ac:dyDescent="0.35">
      <c r="E194" s="390" t="s">
        <v>244</v>
      </c>
    </row>
    <row r="195" spans="5:5" ht="20.149999999999999" hidden="1" customHeight="1" x14ac:dyDescent="0.35">
      <c r="E195" s="390" t="s">
        <v>245</v>
      </c>
    </row>
    <row r="196" spans="5:5" ht="20.149999999999999" hidden="1" customHeight="1" x14ac:dyDescent="0.35">
      <c r="E196" s="390" t="s">
        <v>246</v>
      </c>
    </row>
    <row r="197" spans="5:5" ht="20.149999999999999" hidden="1" customHeight="1" x14ac:dyDescent="0.35">
      <c r="E197" s="390" t="s">
        <v>247</v>
      </c>
    </row>
    <row r="198" spans="5:5" ht="20.149999999999999" hidden="1" customHeight="1" x14ac:dyDescent="0.35">
      <c r="E198" s="390" t="s">
        <v>248</v>
      </c>
    </row>
    <row r="199" spans="5:5" ht="20.149999999999999" hidden="1" customHeight="1" x14ac:dyDescent="0.35">
      <c r="E199" s="390" t="s">
        <v>249</v>
      </c>
    </row>
    <row r="200" spans="5:5" ht="20.149999999999999" hidden="1" customHeight="1" x14ac:dyDescent="0.35">
      <c r="E200" s="390" t="s">
        <v>250</v>
      </c>
    </row>
    <row r="201" spans="5:5" ht="20.149999999999999" hidden="1" customHeight="1" x14ac:dyDescent="0.35">
      <c r="E201" s="390" t="s">
        <v>251</v>
      </c>
    </row>
    <row r="202" spans="5:5" ht="20.149999999999999" hidden="1" customHeight="1" x14ac:dyDescent="0.35">
      <c r="E202" s="390" t="s">
        <v>252</v>
      </c>
    </row>
    <row r="203" spans="5:5" ht="20.149999999999999" hidden="1" customHeight="1" x14ac:dyDescent="0.35">
      <c r="E203" s="390" t="s">
        <v>253</v>
      </c>
    </row>
    <row r="204" spans="5:5" ht="20.149999999999999" hidden="1" customHeight="1" x14ac:dyDescent="0.35">
      <c r="E204" s="390" t="s">
        <v>254</v>
      </c>
    </row>
    <row r="205" spans="5:5" ht="20.149999999999999" hidden="1" customHeight="1" x14ac:dyDescent="0.35">
      <c r="E205" s="390" t="s">
        <v>255</v>
      </c>
    </row>
    <row r="206" spans="5:5" ht="20.149999999999999" hidden="1" customHeight="1" x14ac:dyDescent="0.35">
      <c r="E206" s="390" t="s">
        <v>256</v>
      </c>
    </row>
    <row r="207" spans="5:5" ht="20.149999999999999" hidden="1" customHeight="1" x14ac:dyDescent="0.35">
      <c r="E207" s="390" t="s">
        <v>257</v>
      </c>
    </row>
    <row r="208" spans="5:5" ht="20.149999999999999" hidden="1" customHeight="1" x14ac:dyDescent="0.35">
      <c r="E208" s="390" t="s">
        <v>258</v>
      </c>
    </row>
    <row r="209" spans="5:5" ht="20.149999999999999" hidden="1" customHeight="1" x14ac:dyDescent="0.35">
      <c r="E209" s="390" t="s">
        <v>259</v>
      </c>
    </row>
    <row r="210" spans="5:5" ht="20.149999999999999" hidden="1" customHeight="1" x14ac:dyDescent="0.35">
      <c r="E210" s="390" t="s">
        <v>260</v>
      </c>
    </row>
    <row r="211" spans="5:5" ht="20.149999999999999" hidden="1" customHeight="1" x14ac:dyDescent="0.35">
      <c r="E211" s="390" t="s">
        <v>261</v>
      </c>
    </row>
    <row r="212" spans="5:5" ht="20.149999999999999" hidden="1" customHeight="1" x14ac:dyDescent="0.35">
      <c r="E212" s="390" t="s">
        <v>262</v>
      </c>
    </row>
    <row r="213" spans="5:5" ht="20.149999999999999" hidden="1" customHeight="1" x14ac:dyDescent="0.35">
      <c r="E213" s="390" t="s">
        <v>263</v>
      </c>
    </row>
    <row r="214" spans="5:5" ht="20.149999999999999" hidden="1" customHeight="1" x14ac:dyDescent="0.35">
      <c r="E214" s="390" t="s">
        <v>264</v>
      </c>
    </row>
    <row r="215" spans="5:5" ht="20.149999999999999" hidden="1" customHeight="1" x14ac:dyDescent="0.35">
      <c r="E215" s="390" t="s">
        <v>265</v>
      </c>
    </row>
    <row r="216" spans="5:5" ht="20.149999999999999" hidden="1" customHeight="1" x14ac:dyDescent="0.35">
      <c r="E216" s="390" t="s">
        <v>266</v>
      </c>
    </row>
    <row r="217" spans="5:5" ht="20.149999999999999" hidden="1" customHeight="1" x14ac:dyDescent="0.35">
      <c r="E217" s="390" t="s">
        <v>267</v>
      </c>
    </row>
    <row r="218" spans="5:5" ht="20.149999999999999" hidden="1" customHeight="1" x14ac:dyDescent="0.35">
      <c r="E218" s="390" t="s">
        <v>268</v>
      </c>
    </row>
    <row r="219" spans="5:5" ht="20.149999999999999" hidden="1" customHeight="1" x14ac:dyDescent="0.35">
      <c r="E219" s="390" t="s">
        <v>97</v>
      </c>
    </row>
  </sheetData>
  <sheetProtection algorithmName="SHA-512" hashValue="G2gIzssFyERJ2uGyB3rxbkAB3yZTTsNo1Bg75MxUyrbSDbwIwRh9JG7khhCTo304/g8pqLDtoo3S7xi8jQlmLw==" saltValue="Wg8+DBjNYlR4twvg+Om9JA==" spinCount="100000" sheet="1" formatCells="0" formatColumns="0" formatRows="0"/>
  <protectedRanges>
    <protectedRange sqref="F109:G113" name="Range2"/>
    <protectedRange sqref="E18:F23 E25:F28 I18:I23 I25:I28 C18:C28 E57 I41:L46 F79 G84 E95:E102 G95:I102 C43:C44 C55:C58 C46:C47 C52:C53 C49:C50 E41:F55 I50:L52 I47:N49 I53:N55 E109:G113 C67:E76" name="Range1"/>
  </protectedRanges>
  <sortState xmlns:xlrd2="http://schemas.microsoft.com/office/spreadsheetml/2017/richdata2" ref="E120:E210">
    <sortCondition ref="E120:E210"/>
  </sortState>
  <mergeCells count="65">
    <mergeCell ref="B111:E111"/>
    <mergeCell ref="B112:E112"/>
    <mergeCell ref="B113:E113"/>
    <mergeCell ref="B104:M104"/>
    <mergeCell ref="B115:M115"/>
    <mergeCell ref="I39:K39"/>
    <mergeCell ref="B79:E79"/>
    <mergeCell ref="B109:E109"/>
    <mergeCell ref="B110:E110"/>
    <mergeCell ref="G16:H28"/>
    <mergeCell ref="G40:H57"/>
    <mergeCell ref="B31:M31"/>
    <mergeCell ref="C53:C55"/>
    <mergeCell ref="C47:C49"/>
    <mergeCell ref="B41:B43"/>
    <mergeCell ref="C50:C52"/>
    <mergeCell ref="B39:B40"/>
    <mergeCell ref="C39:C40"/>
    <mergeCell ref="E39:E40"/>
    <mergeCell ref="F39:F40"/>
    <mergeCell ref="L39:M39"/>
    <mergeCell ref="B44:B46"/>
    <mergeCell ref="C44:C46"/>
    <mergeCell ref="I38:M38"/>
    <mergeCell ref="G98:I98"/>
    <mergeCell ref="G96:I96"/>
    <mergeCell ref="B96:C96"/>
    <mergeCell ref="B97:C97"/>
    <mergeCell ref="B98:C98"/>
    <mergeCell ref="G95:I95"/>
    <mergeCell ref="B63:M63"/>
    <mergeCell ref="B78:M78"/>
    <mergeCell ref="B53:B55"/>
    <mergeCell ref="B47:B49"/>
    <mergeCell ref="B50:B52"/>
    <mergeCell ref="I47:K49"/>
    <mergeCell ref="B95:C95"/>
    <mergeCell ref="G94:I94"/>
    <mergeCell ref="L53:M55"/>
    <mergeCell ref="L47:M49"/>
    <mergeCell ref="B107:M107"/>
    <mergeCell ref="G101:I101"/>
    <mergeCell ref="G102:I102"/>
    <mergeCell ref="G100:I100"/>
    <mergeCell ref="G99:I99"/>
    <mergeCell ref="B100:C100"/>
    <mergeCell ref="B101:C101"/>
    <mergeCell ref="B102:C102"/>
    <mergeCell ref="B99:C99"/>
    <mergeCell ref="K6:L6"/>
    <mergeCell ref="K25:M28"/>
    <mergeCell ref="G97:I97"/>
    <mergeCell ref="I57:M57"/>
    <mergeCell ref="B90:M90"/>
    <mergeCell ref="B89:M89"/>
    <mergeCell ref="B93:M93"/>
    <mergeCell ref="B8:M8"/>
    <mergeCell ref="B35:M35"/>
    <mergeCell ref="B13:M13"/>
    <mergeCell ref="B62:M62"/>
    <mergeCell ref="I16:J16"/>
    <mergeCell ref="B14:M14"/>
    <mergeCell ref="B36:M36"/>
    <mergeCell ref="B30:M30"/>
    <mergeCell ref="C41:C43"/>
  </mergeCells>
  <phoneticPr fontId="12" type="noConversion"/>
  <conditionalFormatting sqref="B95:D102 F95:F102 J95:M102 B109:E113 G109:M113">
    <cfRule type="expression" dxfId="39" priority="6">
      <formula>$G$84="Nē"</formula>
    </cfRule>
  </conditionalFormatting>
  <conditionalFormatting sqref="B86:M115">
    <cfRule type="expression" dxfId="38" priority="1">
      <formula>$G$84="Nē"</formula>
    </cfRule>
  </conditionalFormatting>
  <conditionalFormatting sqref="E95:E102">
    <cfRule type="expression" dxfId="37" priority="4">
      <formula>$G$86="Nē"</formula>
    </cfRule>
  </conditionalFormatting>
  <conditionalFormatting sqref="E18:F18 I18:J18">
    <cfRule type="expression" dxfId="36" priority="39">
      <formula>$C$18="Nē"</formula>
    </cfRule>
  </conditionalFormatting>
  <conditionalFormatting sqref="E19:F19 I19:J19">
    <cfRule type="expression" dxfId="35" priority="38">
      <formula>$C$19="Nē"</formula>
    </cfRule>
  </conditionalFormatting>
  <conditionalFormatting sqref="E20:F20 I20:J20">
    <cfRule type="expression" dxfId="34" priority="37">
      <formula>$C$20="Nē"</formula>
    </cfRule>
  </conditionalFormatting>
  <conditionalFormatting sqref="E21:F21 I21:J21">
    <cfRule type="expression" dxfId="33" priority="36">
      <formula>$C$21="Nē"</formula>
    </cfRule>
  </conditionalFormatting>
  <conditionalFormatting sqref="E22:F22 I22:J22">
    <cfRule type="expression" dxfId="32" priority="35">
      <formula>$C$22="Nē"</formula>
    </cfRule>
  </conditionalFormatting>
  <conditionalFormatting sqref="E23:F23 I23:J23">
    <cfRule type="expression" dxfId="31" priority="34">
      <formula>$C$23="Nē"</formula>
    </cfRule>
  </conditionalFormatting>
  <conditionalFormatting sqref="E25:F25 I25:J25">
    <cfRule type="expression" dxfId="30" priority="33">
      <formula>$C$25="Nē"</formula>
    </cfRule>
  </conditionalFormatting>
  <conditionalFormatting sqref="E26:F26 I26:J26">
    <cfRule type="expression" dxfId="29" priority="32">
      <formula>$C$26="Nē"</formula>
    </cfRule>
  </conditionalFormatting>
  <conditionalFormatting sqref="E27:F27 I27:J27">
    <cfRule type="expression" dxfId="28" priority="31">
      <formula>$C$27="Nē"</formula>
    </cfRule>
  </conditionalFormatting>
  <conditionalFormatting sqref="E28:F28 I28:J28">
    <cfRule type="expression" dxfId="27" priority="30">
      <formula>$C$28="Nē"</formula>
    </cfRule>
  </conditionalFormatting>
  <conditionalFormatting sqref="E41:F43">
    <cfRule type="expression" dxfId="26" priority="27">
      <formula>$C$41="Nē"</formula>
    </cfRule>
  </conditionalFormatting>
  <conditionalFormatting sqref="E44:F46">
    <cfRule type="expression" dxfId="25" priority="26">
      <formula>$C$44="Nē"</formula>
    </cfRule>
  </conditionalFormatting>
  <conditionalFormatting sqref="E47:F49">
    <cfRule type="expression" dxfId="24" priority="25">
      <formula>$C$47="Nē"</formula>
    </cfRule>
  </conditionalFormatting>
  <conditionalFormatting sqref="E50:F52">
    <cfRule type="expression" dxfId="23" priority="24">
      <formula>$C$50="Nē"</formula>
    </cfRule>
  </conditionalFormatting>
  <conditionalFormatting sqref="E53:F55">
    <cfRule type="expression" dxfId="22" priority="23">
      <formula>$C$53="Nē"</formula>
    </cfRule>
  </conditionalFormatting>
  <conditionalFormatting sqref="E57:F57 I57:M57">
    <cfRule type="expression" dxfId="21" priority="40">
      <formula>$C$57="Nē"</formula>
    </cfRule>
  </conditionalFormatting>
  <conditionalFormatting sqref="F109:F113">
    <cfRule type="expression" dxfId="20" priority="2">
      <formula>$G$86="Nē"</formula>
    </cfRule>
  </conditionalFormatting>
  <conditionalFormatting sqref="G95:G102">
    <cfRule type="expression" dxfId="19" priority="3">
      <formula>$G$86="Nē"</formula>
    </cfRule>
  </conditionalFormatting>
  <conditionalFormatting sqref="I47 L47">
    <cfRule type="expression" dxfId="18" priority="100">
      <formula>$C$47="Nē"</formula>
    </cfRule>
  </conditionalFormatting>
  <conditionalFormatting sqref="I53:K55">
    <cfRule type="expression" dxfId="17" priority="98">
      <formula>$C$53="Nē"</formula>
    </cfRule>
  </conditionalFormatting>
  <conditionalFormatting sqref="I41:M43">
    <cfRule type="expression" dxfId="16" priority="96">
      <formula>$C$41="Nē"</formula>
    </cfRule>
  </conditionalFormatting>
  <conditionalFormatting sqref="I44:M46">
    <cfRule type="expression" dxfId="15" priority="101">
      <formula>$C$44="Nē"</formula>
    </cfRule>
  </conditionalFormatting>
  <conditionalFormatting sqref="I50:M52">
    <cfRule type="expression" dxfId="14" priority="99">
      <formula>$C$50="Nē"</formula>
    </cfRule>
  </conditionalFormatting>
  <conditionalFormatting sqref="L53">
    <cfRule type="expression" dxfId="13" priority="5">
      <formula>$C$53="Nē"</formula>
    </cfRule>
  </conditionalFormatting>
  <dataValidations count="18">
    <dataValidation type="list" allowBlank="1" showInputMessage="1" showErrorMessage="1" sqref="F18" xr:uid="{F019EF1C-0FCA-4731-89F4-A56036435538}">
      <formula1>$B$122:$B$126</formula1>
    </dataValidation>
    <dataValidation type="list" allowBlank="1" showInputMessage="1" showErrorMessage="1" sqref="G84:H85 C18:C23 C57 C25:C28 C41 C50 C44 C53 C47" xr:uid="{C0A13E82-DDC7-4AD7-8152-D347D9AE20BD}">
      <formula1>$Z$1:$Z$2</formula1>
    </dataValidation>
    <dataValidation type="list" allowBlank="1" showInputMessage="1" showErrorMessage="1" sqref="I41:I43" xr:uid="{4331729C-CA5D-40E7-9496-B01B18979F3B}">
      <formula1>$U$1:$U$4</formula1>
    </dataValidation>
    <dataValidation type="decimal" allowBlank="1" showInputMessage="1" showErrorMessage="1" sqref="B77:D77 E67:E78" xr:uid="{3685BF51-9C0E-4A9C-A656-6A5676B35789}">
      <formula1>0</formula1>
      <formula2>999999999</formula2>
    </dataValidation>
    <dataValidation type="decimal" allowBlank="1" showInputMessage="1" showErrorMessage="1" sqref="E25:E29 I18:I23 E18:E23 L41:L46 L50:L52" xr:uid="{27176B29-CCE2-46D7-9861-0DC5E6BF375F}">
      <formula1>0</formula1>
      <formula2>9999999999</formula2>
    </dataValidation>
    <dataValidation type="decimal" allowBlank="1" showInputMessage="1" showErrorMessage="1" sqref="E41:E55" xr:uid="{BF48A770-25B9-4559-A5B8-4AD2B8AD9933}">
      <formula1>0</formula1>
      <formula2>999999999999</formula2>
    </dataValidation>
    <dataValidation type="decimal" allowBlank="1" showInputMessage="1" showErrorMessage="1" sqref="J41:J46 J50:J55" xr:uid="{4520ACD5-49FC-4679-87CA-0373E3338860}">
      <formula1>0</formula1>
      <formula2>999999999999999</formula2>
    </dataValidation>
    <dataValidation type="decimal" allowBlank="1" showInputMessage="1" showErrorMessage="1" sqref="F79 F109: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5:I102" xr:uid="{4982C0F5-AA61-4D63-BF90-3E471E28A459}">
      <formula1>$Q$1:$Q$6</formula1>
    </dataValidation>
    <dataValidation type="whole" allowBlank="1" showInputMessage="1" showErrorMessage="1" sqref="E95:E104" xr:uid="{0DED346A-A1C0-428B-BB3C-9DA2D580856F}">
      <formula1>0</formula1>
      <formula2>999999999999999000</formula2>
    </dataValidation>
    <dataValidation type="list" allowBlank="1" showInputMessage="1" showErrorMessage="1" sqref="F25:F29 F21" xr:uid="{370A3DC1-BC6D-49DE-9476-C0069F120F6D}">
      <formula1>$AH$1:$AH$3</formula1>
    </dataValidation>
    <dataValidation type="list" allowBlank="1" showInputMessage="1" showErrorMessage="1" sqref="I44:I46 I50:I55" xr:uid="{41BCC677-5F20-47E1-9325-B55FAF368D33}">
      <formula1>$U$1:$U$2</formula1>
    </dataValidation>
    <dataValidation type="list" allowBlank="1" showInputMessage="1" showErrorMessage="1" sqref="C67:C76 D68" xr:uid="{5F79C4AC-BACB-46DB-80DE-C7B5F3503305}">
      <formula1>$E$120:$E$222</formula1>
    </dataValidation>
    <dataValidation type="list" allowBlank="1" showInputMessage="1" showErrorMessage="1" sqref="C78" xr:uid="{4902405C-8706-4B79-A5E4-20AEF2D0649B}">
      <formula1>$E$118:$E$206</formula1>
    </dataValidation>
    <dataValidation type="list" allowBlank="1" showInputMessage="1" showErrorMessage="1" sqref="G109:G113" xr:uid="{A65D3076-860C-4068-9D2A-208904B66235}">
      <formula1>"kg,t"</formula1>
    </dataValidation>
    <dataValidation type="list" allowBlank="1" showInputMessage="1" showErrorMessage="1" sqref="F41:F55" xr:uid="{AF77A38C-CA41-484B-B452-B7E72F998F4E}">
      <formula1>"L,t"</formula1>
    </dataValidation>
    <dataValidation type="list" allowBlank="1" showInputMessage="1" showErrorMessage="1" sqref="F22:F23" xr:uid="{4E020B36-B58F-46CF-8C47-72E043DDEEAE}">
      <formula1>$X$1:$X$4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sheetPr>
    <tabColor theme="4" tint="0.79998168889431442"/>
  </sheetPr>
  <dimension ref="A1:U72"/>
  <sheetViews>
    <sheetView showGridLines="0" zoomScaleNormal="100" workbookViewId="0">
      <selection activeCell="I16" sqref="I16"/>
    </sheetView>
  </sheetViews>
  <sheetFormatPr defaultColWidth="0" defaultRowHeight="14.5" customHeight="1" zeroHeight="1" x14ac:dyDescent="0.35"/>
  <cols>
    <col min="1" max="1" width="3.453125" customWidth="1"/>
    <col min="2" max="2" width="19" customWidth="1"/>
    <col min="3" max="3" width="13.7265625" customWidth="1"/>
    <col min="4" max="4" width="20" customWidth="1"/>
    <col min="5" max="5" width="13.81640625" bestFit="1" customWidth="1"/>
    <col min="6" max="6" width="8.81640625" customWidth="1"/>
    <col min="7" max="7" width="28.1796875" customWidth="1"/>
    <col min="8" max="10" width="15.54296875" style="27" customWidth="1"/>
    <col min="11" max="11" width="10.81640625" bestFit="1" customWidth="1"/>
    <col min="12" max="12" width="3.26953125" customWidth="1"/>
    <col min="13" max="21" width="0" hidden="1" customWidth="1"/>
    <col min="22" max="16384" width="8.7265625" hidden="1"/>
  </cols>
  <sheetData>
    <row r="1" spans="2:21" ht="20.149999999999999" customHeight="1" x14ac:dyDescent="0.35">
      <c r="B1" s="43"/>
      <c r="C1" s="43"/>
      <c r="Q1" t="s">
        <v>269</v>
      </c>
      <c r="R1" s="349" t="s">
        <v>68</v>
      </c>
      <c r="S1" s="349" t="s">
        <v>67</v>
      </c>
      <c r="T1" s="349" t="s">
        <v>8</v>
      </c>
      <c r="U1" s="349" t="s">
        <v>68</v>
      </c>
    </row>
    <row r="2" spans="2:21" ht="6" customHeight="1" x14ac:dyDescent="0.35">
      <c r="B2" s="10"/>
      <c r="C2" s="10"/>
      <c r="D2" s="10"/>
      <c r="E2" s="10"/>
      <c r="F2" s="10"/>
      <c r="G2" s="10"/>
      <c r="H2" s="45"/>
      <c r="I2" s="45"/>
      <c r="J2" s="45"/>
      <c r="K2" s="10"/>
      <c r="Q2" s="34" t="s">
        <v>270</v>
      </c>
      <c r="R2" s="349" t="s">
        <v>72</v>
      </c>
      <c r="S2" s="349"/>
      <c r="T2" s="349" t="s">
        <v>11</v>
      </c>
      <c r="U2" s="349" t="s">
        <v>72</v>
      </c>
    </row>
    <row r="3" spans="2:21" ht="6" customHeight="1" x14ac:dyDescent="0.35">
      <c r="B3" s="26"/>
      <c r="C3" s="26"/>
      <c r="D3" s="26"/>
      <c r="E3" s="26"/>
      <c r="F3" s="26"/>
      <c r="G3" s="26"/>
      <c r="H3" s="46"/>
      <c r="I3" s="46"/>
      <c r="J3" s="46"/>
      <c r="K3" s="26"/>
      <c r="Q3" t="s">
        <v>271</v>
      </c>
      <c r="R3" s="349" t="s">
        <v>75</v>
      </c>
      <c r="S3" s="349"/>
      <c r="T3" s="349"/>
      <c r="U3" s="349" t="s">
        <v>176</v>
      </c>
    </row>
    <row r="4" spans="2:21" ht="20.149999999999999" customHeight="1" x14ac:dyDescent="0.35">
      <c r="Q4" t="s">
        <v>272</v>
      </c>
      <c r="R4" s="349" t="s">
        <v>176</v>
      </c>
      <c r="S4" s="349"/>
      <c r="T4" s="349"/>
      <c r="U4" s="349"/>
    </row>
    <row r="5" spans="2:21" ht="20.149999999999999" customHeight="1" x14ac:dyDescent="0.45">
      <c r="B5" s="358" t="s">
        <v>76</v>
      </c>
      <c r="C5" s="1"/>
      <c r="J5" s="360" t="s">
        <v>77</v>
      </c>
      <c r="K5" s="24">
        <f>Informācija!F10</f>
        <v>0</v>
      </c>
      <c r="O5" s="34"/>
      <c r="Q5" s="30" t="s">
        <v>273</v>
      </c>
    </row>
    <row r="6" spans="2:21" ht="20.149999999999999" customHeight="1" x14ac:dyDescent="0.45">
      <c r="B6" s="1"/>
      <c r="C6" s="1"/>
      <c r="H6" s="489" t="s">
        <v>78</v>
      </c>
      <c r="I6" s="489"/>
      <c r="J6" s="489"/>
      <c r="K6" s="24">
        <f>Informācija!F12</f>
        <v>0</v>
      </c>
      <c r="Q6" t="s">
        <v>274</v>
      </c>
    </row>
    <row r="7" spans="2:21" ht="20.149999999999999" customHeight="1" x14ac:dyDescent="0.35">
      <c r="B7" s="359" t="s">
        <v>275</v>
      </c>
      <c r="C7" s="20"/>
      <c r="Q7" t="s">
        <v>276</v>
      </c>
    </row>
    <row r="8" spans="2:21" ht="40" customHeight="1" x14ac:dyDescent="0.35">
      <c r="B8" s="447" t="s">
        <v>277</v>
      </c>
      <c r="C8" s="447"/>
      <c r="D8" s="492"/>
      <c r="E8" s="492"/>
      <c r="F8" s="492"/>
      <c r="G8" s="492"/>
      <c r="H8" s="492"/>
      <c r="I8" s="492"/>
      <c r="J8" s="492"/>
      <c r="K8" s="492"/>
    </row>
    <row r="9" spans="2:21" ht="20.149999999999999" customHeight="1" x14ac:dyDescent="0.35">
      <c r="Q9" t="s">
        <v>278</v>
      </c>
    </row>
    <row r="10" spans="2:21" ht="6" customHeight="1" x14ac:dyDescent="0.35">
      <c r="B10" s="10"/>
      <c r="C10" s="10"/>
      <c r="D10" s="10"/>
      <c r="E10" s="10"/>
      <c r="F10" s="10"/>
      <c r="G10" s="10"/>
      <c r="H10" s="45"/>
      <c r="I10" s="45"/>
      <c r="J10" s="45"/>
      <c r="K10" s="10"/>
      <c r="Q10" t="s">
        <v>279</v>
      </c>
    </row>
    <row r="11" spans="2:21" ht="20.149999999999999" customHeight="1" x14ac:dyDescent="0.35">
      <c r="Q11" t="s">
        <v>280</v>
      </c>
    </row>
    <row r="12" spans="2:21" ht="20.149999999999999" customHeight="1" x14ac:dyDescent="0.45">
      <c r="B12" s="348" t="s">
        <v>281</v>
      </c>
      <c r="C12" s="1"/>
      <c r="Q12" t="s">
        <v>282</v>
      </c>
    </row>
    <row r="13" spans="2:21" ht="20.149999999999999" customHeight="1" x14ac:dyDescent="0.35">
      <c r="B13" s="494" t="s">
        <v>283</v>
      </c>
      <c r="C13" s="494"/>
      <c r="D13" s="494"/>
      <c r="E13" s="494"/>
      <c r="F13" s="494"/>
      <c r="G13" s="494"/>
      <c r="H13" s="494"/>
      <c r="I13" s="494"/>
      <c r="J13" s="494"/>
      <c r="K13" s="494"/>
      <c r="Q13" t="s">
        <v>284</v>
      </c>
    </row>
    <row r="14" spans="2:21" ht="33" customHeight="1" x14ac:dyDescent="0.35">
      <c r="B14" s="494"/>
      <c r="C14" s="494"/>
      <c r="D14" s="494"/>
      <c r="E14" s="494"/>
      <c r="F14" s="494"/>
      <c r="G14" s="494"/>
      <c r="H14" s="494"/>
      <c r="I14" s="494"/>
      <c r="J14" s="494"/>
      <c r="K14" s="494"/>
      <c r="Q14" t="s">
        <v>285</v>
      </c>
    </row>
    <row r="15" spans="2:21" ht="20.149999999999999" customHeight="1" x14ac:dyDescent="0.35">
      <c r="B15" s="8"/>
      <c r="C15" s="8"/>
      <c r="D15" s="8"/>
      <c r="E15" s="8"/>
      <c r="F15" s="8"/>
      <c r="G15" s="344" t="s">
        <v>286</v>
      </c>
      <c r="H15" s="47">
        <f>Informācija!F12</f>
        <v>0</v>
      </c>
      <c r="I15" s="48"/>
      <c r="J15" s="48"/>
      <c r="K15" s="361" t="s">
        <v>287</v>
      </c>
      <c r="Q15" t="s">
        <v>288</v>
      </c>
    </row>
    <row r="16" spans="2:21" s="60" customFormat="1" ht="33" customHeight="1" thickBot="1" x14ac:dyDescent="0.4">
      <c r="B16" s="483" t="s">
        <v>289</v>
      </c>
      <c r="C16" s="483"/>
      <c r="D16" s="507" t="s">
        <v>290</v>
      </c>
      <c r="E16" s="507"/>
      <c r="F16" s="507"/>
      <c r="G16" s="508"/>
      <c r="H16" s="134"/>
      <c r="I16" s="134"/>
      <c r="J16" s="134"/>
      <c r="K16" s="135"/>
    </row>
    <row r="17" spans="2:17" s="60" customFormat="1" ht="33" customHeight="1" thickTop="1" x14ac:dyDescent="0.35">
      <c r="B17" s="483"/>
      <c r="C17" s="483"/>
      <c r="D17" s="490" t="s">
        <v>291</v>
      </c>
      <c r="E17" s="490"/>
      <c r="F17" s="490"/>
      <c r="G17" s="491"/>
      <c r="H17" s="303" t="s">
        <v>11</v>
      </c>
      <c r="I17" s="303" t="s">
        <v>11</v>
      </c>
      <c r="J17" s="303" t="s">
        <v>11</v>
      </c>
      <c r="K17" s="304"/>
      <c r="Q17" s="60" t="s">
        <v>292</v>
      </c>
    </row>
    <row r="18" spans="2:17" ht="33" customHeight="1" x14ac:dyDescent="0.35">
      <c r="B18" s="483"/>
      <c r="C18" s="483"/>
      <c r="D18" s="505" t="s">
        <v>293</v>
      </c>
      <c r="E18" s="505"/>
      <c r="F18" s="505"/>
      <c r="G18" s="506"/>
      <c r="H18" s="136"/>
      <c r="I18" s="136"/>
      <c r="J18" s="136"/>
      <c r="K18" s="137" t="s">
        <v>72</v>
      </c>
    </row>
    <row r="19" spans="2:17" ht="20.149999999999999" customHeight="1" x14ac:dyDescent="0.35">
      <c r="B19" s="483"/>
      <c r="C19" s="483"/>
      <c r="D19" s="499" t="s">
        <v>294</v>
      </c>
      <c r="E19" s="499"/>
      <c r="F19" s="499"/>
      <c r="G19" s="499"/>
      <c r="H19" s="499"/>
      <c r="I19" s="499"/>
      <c r="J19" s="499"/>
      <c r="K19" s="499"/>
      <c r="Q19" t="s">
        <v>295</v>
      </c>
    </row>
    <row r="20" spans="2:17" s="60" customFormat="1" ht="27" customHeight="1" x14ac:dyDescent="0.35">
      <c r="B20" s="483"/>
      <c r="C20" s="483"/>
      <c r="D20" s="497" t="s">
        <v>296</v>
      </c>
      <c r="E20" s="497"/>
      <c r="F20" s="497"/>
      <c r="G20" s="498"/>
      <c r="H20" s="305"/>
      <c r="I20" s="305"/>
      <c r="J20" s="305"/>
      <c r="K20" s="123" t="s">
        <v>67</v>
      </c>
      <c r="Q20" s="60" t="s">
        <v>297</v>
      </c>
    </row>
    <row r="21" spans="2:17" s="60" customFormat="1" ht="27" customHeight="1" x14ac:dyDescent="0.35">
      <c r="B21" s="483"/>
      <c r="C21" s="483"/>
      <c r="D21" s="497" t="s">
        <v>296</v>
      </c>
      <c r="E21" s="497"/>
      <c r="F21" s="497"/>
      <c r="G21" s="498"/>
      <c r="H21" s="305"/>
      <c r="I21" s="305"/>
      <c r="J21" s="305"/>
      <c r="K21" s="123" t="s">
        <v>67</v>
      </c>
      <c r="Q21" s="382" t="s">
        <v>7</v>
      </c>
    </row>
    <row r="22" spans="2:17" ht="20.149999999999999" customHeight="1" x14ac:dyDescent="0.35">
      <c r="B22" s="42"/>
      <c r="C22" s="42"/>
      <c r="D22" s="42"/>
      <c r="E22" s="42"/>
      <c r="F22" s="42"/>
      <c r="G22" s="42"/>
      <c r="H22" s="42"/>
      <c r="I22" s="42"/>
      <c r="J22" s="42"/>
      <c r="K22" s="42"/>
      <c r="Q22" s="349" t="s">
        <v>10</v>
      </c>
    </row>
    <row r="23" spans="2:17" ht="20.149999999999999" customHeight="1" x14ac:dyDescent="0.35">
      <c r="B23" s="451" t="s">
        <v>298</v>
      </c>
      <c r="C23" s="451"/>
      <c r="D23" s="451"/>
      <c r="E23" s="451"/>
      <c r="F23" s="451"/>
      <c r="G23" s="451"/>
      <c r="H23" s="451"/>
      <c r="I23" s="451"/>
      <c r="J23" s="451"/>
      <c r="K23" s="451"/>
      <c r="L23" s="451"/>
      <c r="M23" s="451"/>
      <c r="Q23" s="383" t="s">
        <v>13</v>
      </c>
    </row>
    <row r="24" spans="2:17" ht="6" customHeight="1" x14ac:dyDescent="0.35">
      <c r="B24" s="21"/>
      <c r="C24" s="21"/>
      <c r="D24" s="21"/>
      <c r="E24" s="10"/>
      <c r="F24" s="22"/>
      <c r="G24" s="10"/>
      <c r="H24" s="45"/>
      <c r="I24" s="45"/>
      <c r="J24" s="45"/>
      <c r="K24" s="10"/>
    </row>
    <row r="25" spans="2:17" ht="20.149999999999999" customHeight="1" x14ac:dyDescent="0.35"/>
    <row r="26" spans="2:17" ht="20.149999999999999" customHeight="1" x14ac:dyDescent="0.45">
      <c r="B26" s="348" t="s">
        <v>299</v>
      </c>
      <c r="C26" s="1"/>
    </row>
    <row r="27" spans="2:17" ht="20.149999999999999" customHeight="1" x14ac:dyDescent="0.35">
      <c r="B27" s="494" t="s">
        <v>300</v>
      </c>
      <c r="C27" s="494"/>
      <c r="D27" s="494"/>
      <c r="E27" s="494"/>
      <c r="F27" s="494"/>
      <c r="G27" s="494"/>
      <c r="H27" s="494"/>
      <c r="I27" s="494"/>
      <c r="J27" s="494"/>
      <c r="K27" s="494"/>
    </row>
    <row r="28" spans="2:17" ht="20.149999999999999" customHeight="1" x14ac:dyDescent="0.35">
      <c r="B28" s="494"/>
      <c r="C28" s="494"/>
      <c r="D28" s="494"/>
      <c r="E28" s="494"/>
      <c r="F28" s="494"/>
      <c r="G28" s="494"/>
      <c r="H28" s="494"/>
      <c r="I28" s="494"/>
      <c r="J28" s="494"/>
      <c r="K28" s="494"/>
    </row>
    <row r="29" spans="2:17" ht="20.149999999999999" customHeight="1" x14ac:dyDescent="0.35">
      <c r="B29" s="494"/>
      <c r="C29" s="494"/>
      <c r="D29" s="494"/>
      <c r="E29" s="494"/>
      <c r="F29" s="494"/>
      <c r="G29" s="494"/>
      <c r="H29" s="494"/>
      <c r="I29" s="494"/>
      <c r="J29" s="494"/>
      <c r="K29" s="494"/>
    </row>
    <row r="30" spans="2:17" ht="20.149999999999999" customHeight="1" x14ac:dyDescent="0.35">
      <c r="B30" s="3"/>
      <c r="C30" s="3"/>
      <c r="D30" s="3"/>
      <c r="E30" s="3"/>
      <c r="F30" s="3"/>
      <c r="G30" s="3"/>
      <c r="H30" s="49"/>
      <c r="I30" s="49"/>
      <c r="J30" s="49"/>
      <c r="K30" s="3"/>
    </row>
    <row r="31" spans="2:17" ht="27" customHeight="1" x14ac:dyDescent="0.35">
      <c r="F31" s="500" t="s">
        <v>301</v>
      </c>
      <c r="G31" s="500"/>
      <c r="H31" s="495" t="s">
        <v>85</v>
      </c>
      <c r="I31" s="496"/>
    </row>
    <row r="32" spans="2:17" ht="20.149999999999999" customHeight="1" x14ac:dyDescent="0.35">
      <c r="B32" s="352" t="s">
        <v>302</v>
      </c>
      <c r="C32" s="352" t="s">
        <v>303</v>
      </c>
      <c r="D32" s="352" t="s">
        <v>304</v>
      </c>
      <c r="E32" s="352" t="s">
        <v>89</v>
      </c>
      <c r="F32" s="500"/>
      <c r="G32" s="500"/>
      <c r="H32" s="365" t="s">
        <v>90</v>
      </c>
      <c r="I32" s="366" t="s">
        <v>89</v>
      </c>
      <c r="M32" s="27"/>
    </row>
    <row r="33" spans="2:13" ht="20.149999999999999" customHeight="1" x14ac:dyDescent="0.35">
      <c r="B33" s="362" t="s">
        <v>305</v>
      </c>
      <c r="C33" s="306" t="s">
        <v>11</v>
      </c>
      <c r="D33" s="202"/>
      <c r="E33" s="292"/>
      <c r="F33" s="500"/>
      <c r="G33" s="500"/>
      <c r="H33" s="296"/>
      <c r="I33" s="297" t="s">
        <v>306</v>
      </c>
      <c r="M33" s="27"/>
    </row>
    <row r="34" spans="2:13" ht="20.149999999999999" customHeight="1" x14ac:dyDescent="0.35">
      <c r="B34" s="363" t="s">
        <v>307</v>
      </c>
      <c r="C34" s="307" t="s">
        <v>11</v>
      </c>
      <c r="D34" s="206"/>
      <c r="E34" s="293"/>
      <c r="F34" s="500"/>
      <c r="G34" s="500"/>
      <c r="H34" s="501" t="s">
        <v>120</v>
      </c>
      <c r="I34" s="502"/>
      <c r="M34" s="27"/>
    </row>
    <row r="35" spans="2:13" ht="20.149999999999999" customHeight="1" x14ac:dyDescent="0.35">
      <c r="B35" s="364" t="s">
        <v>308</v>
      </c>
      <c r="C35" s="308" t="s">
        <v>11</v>
      </c>
      <c r="D35" s="294"/>
      <c r="E35" s="295"/>
      <c r="F35" s="500"/>
      <c r="G35" s="500"/>
      <c r="H35" s="503" t="s">
        <v>120</v>
      </c>
      <c r="I35" s="504"/>
      <c r="M35" s="27"/>
    </row>
    <row r="36" spans="2:13" ht="20.149999999999999" customHeight="1" x14ac:dyDescent="0.35">
      <c r="B36" s="4"/>
      <c r="C36" s="4"/>
      <c r="D36" s="4"/>
      <c r="F36" s="4"/>
      <c r="G36" s="4"/>
      <c r="H36" s="50"/>
      <c r="I36" s="50"/>
    </row>
    <row r="37" spans="2:13" ht="6" customHeight="1" x14ac:dyDescent="0.35">
      <c r="B37" s="11"/>
      <c r="C37" s="11"/>
      <c r="D37" s="11"/>
      <c r="E37" s="11"/>
      <c r="F37" s="11"/>
      <c r="G37" s="11"/>
      <c r="H37" s="11"/>
      <c r="I37" s="11"/>
      <c r="J37" s="11"/>
      <c r="K37" s="11"/>
    </row>
    <row r="38" spans="2:13" ht="6" customHeight="1" x14ac:dyDescent="0.35">
      <c r="B38" s="10"/>
      <c r="C38" s="10"/>
      <c r="D38" s="10"/>
      <c r="E38" s="10"/>
      <c r="F38" s="10"/>
      <c r="G38" s="10"/>
      <c r="H38" s="45"/>
      <c r="I38" s="45"/>
      <c r="J38" s="45"/>
      <c r="K38" s="10"/>
    </row>
    <row r="39" spans="2:13" ht="20.149999999999999" customHeight="1" x14ac:dyDescent="0.35"/>
    <row r="40" spans="2:13" ht="20.149999999999999" hidden="1" customHeight="1" x14ac:dyDescent="0.35"/>
    <row r="41" spans="2:13" ht="20.149999999999999" hidden="1" customHeight="1" x14ac:dyDescent="0.35">
      <c r="J41" s="493"/>
      <c r="K41" s="493"/>
      <c r="L41" s="27"/>
    </row>
    <row r="42" spans="2:13" ht="20.149999999999999" hidden="1" customHeight="1" x14ac:dyDescent="0.35"/>
    <row r="43" spans="2:13" ht="20.149999999999999" hidden="1" customHeight="1" x14ac:dyDescent="0.35">
      <c r="B43" s="11"/>
      <c r="C43" s="11"/>
      <c r="D43" s="11"/>
      <c r="E43" s="11"/>
      <c r="F43" s="11"/>
      <c r="G43" s="11"/>
      <c r="H43" s="51"/>
      <c r="I43" s="51"/>
      <c r="J43" s="51"/>
      <c r="K43" s="11"/>
    </row>
    <row r="44" spans="2:13" ht="20.149999999999999" hidden="1" customHeight="1" x14ac:dyDescent="0.35">
      <c r="B44" s="10"/>
      <c r="C44" s="10"/>
      <c r="D44" s="10"/>
      <c r="E44" s="10"/>
      <c r="F44" s="10"/>
      <c r="G44" s="10"/>
      <c r="H44" s="45"/>
      <c r="I44" s="45"/>
      <c r="J44" s="45"/>
      <c r="K44" s="10"/>
    </row>
    <row r="45" spans="2:13" ht="20.149999999999999" hidden="1" customHeight="1" x14ac:dyDescent="0.35"/>
    <row r="46" spans="2:13" ht="20.149999999999999" hidden="1" customHeight="1" x14ac:dyDescent="0.35"/>
    <row r="47" spans="2:13" ht="20.149999999999999" hidden="1" customHeight="1" x14ac:dyDescent="0.35"/>
    <row r="48" spans="2:13" ht="20.149999999999999" hidden="1" customHeight="1" x14ac:dyDescent="0.35">
      <c r="D48" t="b">
        <v>0</v>
      </c>
    </row>
    <row r="49" spans="2:4" ht="20.149999999999999" hidden="1" customHeight="1" x14ac:dyDescent="0.35"/>
    <row r="50" spans="2:4" ht="20.149999999999999" hidden="1" customHeight="1" x14ac:dyDescent="0.35"/>
    <row r="51" spans="2:4" ht="20.149999999999999" hidden="1" customHeight="1" x14ac:dyDescent="0.35">
      <c r="B51" t="s">
        <v>309</v>
      </c>
    </row>
    <row r="52" spans="2:4" ht="20.149999999999999" hidden="1" customHeight="1" x14ac:dyDescent="0.35">
      <c r="B52" t="s">
        <v>310</v>
      </c>
    </row>
    <row r="53" spans="2:4" ht="20.149999999999999" hidden="1" customHeight="1" x14ac:dyDescent="0.35">
      <c r="D53" t="b">
        <v>0</v>
      </c>
    </row>
    <row r="54" spans="2:4" ht="20.149999999999999" hidden="1" customHeight="1" x14ac:dyDescent="0.35">
      <c r="B54" t="s">
        <v>311</v>
      </c>
    </row>
    <row r="55" spans="2:4" ht="20.149999999999999" hidden="1" customHeight="1" x14ac:dyDescent="0.35">
      <c r="B55" t="s">
        <v>312</v>
      </c>
    </row>
    <row r="56" spans="2:4" ht="20.149999999999999" hidden="1" customHeight="1" x14ac:dyDescent="0.35">
      <c r="B56" t="s">
        <v>313</v>
      </c>
    </row>
    <row r="57" spans="2:4" ht="20.149999999999999" hidden="1" customHeight="1" x14ac:dyDescent="0.35"/>
    <row r="58" spans="2:4" ht="20.149999999999999" hidden="1" customHeight="1" x14ac:dyDescent="0.35"/>
    <row r="59" spans="2:4" ht="20.149999999999999" hidden="1" customHeight="1" x14ac:dyDescent="0.35"/>
    <row r="60" spans="2:4" ht="20.149999999999999" hidden="1" customHeight="1" x14ac:dyDescent="0.35"/>
    <row r="61" spans="2:4" ht="20.149999999999999" hidden="1" customHeight="1" x14ac:dyDescent="0.35"/>
    <row r="62" spans="2:4" ht="20.149999999999999" hidden="1" customHeight="1" x14ac:dyDescent="0.35"/>
    <row r="63" spans="2:4" ht="20.149999999999999" hidden="1" customHeight="1" x14ac:dyDescent="0.35"/>
    <row r="64" spans="2:4" ht="20.149999999999999" hidden="1" customHeight="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sheetData>
  <sheetProtection algorithmName="SHA-512" hashValue="PmzCUQ/t4b+B+2nOBOdt0IkKxoQsIepLor67jnzO/v2T1xEWW1lbkSZ+lKAIAixINFBpj278VZbLqR6pWooQkQ==" saltValue="1H+CzU9/OlVjlOX/fJubWg==" spinCount="100000" sheet="1" formatCells="0" formatColumns="0" formatRows="0"/>
  <protectedRanges>
    <protectedRange sqref="C33:E35 H33:H35" name="Range1"/>
    <protectedRange sqref="H20:K21 H16:K18" name="Range2"/>
  </protectedRanges>
  <mergeCells count="17">
    <mergeCell ref="B23:M23"/>
    <mergeCell ref="H6:J6"/>
    <mergeCell ref="D17:G17"/>
    <mergeCell ref="B16:C21"/>
    <mergeCell ref="B8:K8"/>
    <mergeCell ref="J41:K41"/>
    <mergeCell ref="B13:K14"/>
    <mergeCell ref="B27:K29"/>
    <mergeCell ref="H31:I31"/>
    <mergeCell ref="D20:G20"/>
    <mergeCell ref="D21:G21"/>
    <mergeCell ref="D19:K19"/>
    <mergeCell ref="F31:G35"/>
    <mergeCell ref="H34:I34"/>
    <mergeCell ref="H35:I35"/>
    <mergeCell ref="D18:G18"/>
    <mergeCell ref="D16:G16"/>
  </mergeCells>
  <phoneticPr fontId="12" type="noConversion"/>
  <conditionalFormatting sqref="B12">
    <cfRule type="expression" dxfId="12" priority="2">
      <formula>$G$86="Ne"</formula>
    </cfRule>
  </conditionalFormatting>
  <conditionalFormatting sqref="B26">
    <cfRule type="expression" dxfId="11" priority="1">
      <formula>$G$86="Ne"</formula>
    </cfRule>
  </conditionalFormatting>
  <conditionalFormatting sqref="D33:E33">
    <cfRule type="expression" dxfId="10" priority="15">
      <formula>$C$33="Nē"</formula>
    </cfRule>
  </conditionalFormatting>
  <conditionalFormatting sqref="D34:E34">
    <cfRule type="expression" dxfId="9" priority="14">
      <formula>$C$34="Nē"</formula>
    </cfRule>
  </conditionalFormatting>
  <conditionalFormatting sqref="D35:E35">
    <cfRule type="expression" dxfId="8" priority="13">
      <formula>$C$35="Nē"</formula>
    </cfRule>
  </conditionalFormatting>
  <conditionalFormatting sqref="H18">
    <cfRule type="expression" dxfId="7" priority="11">
      <formula>$H$17="Jā"</formula>
    </cfRule>
  </conditionalFormatting>
  <conditionalFormatting sqref="H33:I33">
    <cfRule type="expression" dxfId="6" priority="7">
      <formula>$C$33="Nē"</formula>
    </cfRule>
  </conditionalFormatting>
  <conditionalFormatting sqref="I18">
    <cfRule type="expression" dxfId="5" priority="10">
      <formula>$I$17="Jā"</formula>
    </cfRule>
  </conditionalFormatting>
  <conditionalFormatting sqref="J18">
    <cfRule type="expression" dxfId="4" priority="9">
      <formula>$J$17="Jā"</formula>
    </cfRule>
  </conditionalFormatting>
  <conditionalFormatting sqref="K18">
    <cfRule type="expression" dxfId="3" priority="8">
      <formula>IF($H$17="Jā",1,0)+IF($I$17="Jā",1,0)+IF($J$17="Jā",1,0)&gt;0.5</formula>
    </cfRule>
  </conditionalFormatting>
  <dataValidations count="9">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C33:C35"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sheetPr>
    <tabColor theme="4" tint="0.79998168889431442"/>
  </sheetPr>
  <dimension ref="B1:Q62"/>
  <sheetViews>
    <sheetView showGridLines="0" zoomScale="90" zoomScaleNormal="90" workbookViewId="0">
      <selection activeCell="E21" sqref="E21"/>
    </sheetView>
  </sheetViews>
  <sheetFormatPr defaultColWidth="0" defaultRowHeight="14.5" zeroHeight="1" x14ac:dyDescent="0.35"/>
  <cols>
    <col min="1" max="1" width="3.453125" customWidth="1"/>
    <col min="2" max="2" width="12.81640625" customWidth="1"/>
    <col min="3" max="3" width="11.26953125" customWidth="1"/>
    <col min="4" max="4" width="8.54296875" customWidth="1"/>
    <col min="5" max="5" width="14.54296875" customWidth="1"/>
    <col min="6" max="6" width="13.26953125" customWidth="1"/>
    <col min="7" max="7" width="8.7265625" customWidth="1"/>
    <col min="8" max="8" width="13.1796875" customWidth="1"/>
    <col min="9" max="9" width="10.54296875" customWidth="1"/>
    <col min="10" max="10" width="8.54296875" customWidth="1"/>
    <col min="11" max="11" width="15" customWidth="1"/>
    <col min="12" max="12" width="8.7265625" customWidth="1"/>
    <col min="13" max="13" width="6.7265625" customWidth="1"/>
    <col min="14" max="14" width="0" hidden="1" customWidth="1"/>
  </cols>
  <sheetData>
    <row r="1" spans="2:17" x14ac:dyDescent="0.35"/>
    <row r="2" spans="2:17" ht="6" customHeight="1" x14ac:dyDescent="0.35">
      <c r="B2" s="10"/>
      <c r="C2" s="10"/>
      <c r="D2" s="10"/>
      <c r="E2" s="10"/>
      <c r="F2" s="10"/>
      <c r="G2" s="10"/>
      <c r="H2" s="10"/>
      <c r="I2" s="10"/>
      <c r="J2" s="10"/>
      <c r="K2" s="10"/>
      <c r="L2" s="10"/>
    </row>
    <row r="3" spans="2:17" ht="6" customHeight="1" x14ac:dyDescent="0.35">
      <c r="B3" s="11"/>
      <c r="C3" s="11"/>
      <c r="D3" s="11"/>
      <c r="E3" s="11"/>
      <c r="F3" s="11"/>
      <c r="G3" s="11"/>
      <c r="H3" s="11"/>
      <c r="I3" s="11"/>
      <c r="J3" s="11"/>
      <c r="K3" s="11"/>
      <c r="L3" s="11"/>
    </row>
    <row r="4" spans="2:17" ht="15.5" x14ac:dyDescent="0.35">
      <c r="B4" s="515" t="s">
        <v>314</v>
      </c>
      <c r="C4" s="515"/>
      <c r="D4" s="515" t="str">
        <f>IF(Informācija!F8&lt;1,"-",Informācija!F8)</f>
        <v>-</v>
      </c>
      <c r="E4" s="515"/>
      <c r="F4" s="515"/>
      <c r="G4" s="515" t="s">
        <v>315</v>
      </c>
      <c r="H4" s="515"/>
      <c r="I4" s="515"/>
      <c r="J4" s="515"/>
      <c r="K4" s="515" t="str">
        <f>IF(Informācija!F10&lt;1,"-",Informācija!F10)</f>
        <v>-</v>
      </c>
      <c r="L4" s="515"/>
    </row>
    <row r="5" spans="2:17" x14ac:dyDescent="0.35"/>
    <row r="6" spans="2:17" x14ac:dyDescent="0.35">
      <c r="B6" s="358" t="s">
        <v>316</v>
      </c>
      <c r="E6" s="358" t="s">
        <v>317</v>
      </c>
      <c r="H6" s="358" t="s">
        <v>318</v>
      </c>
      <c r="K6" s="358" t="s">
        <v>319</v>
      </c>
    </row>
    <row r="7" spans="2:17" ht="6" customHeight="1" x14ac:dyDescent="0.35"/>
    <row r="8" spans="2:17" ht="21" x14ac:dyDescent="0.35">
      <c r="B8" s="531">
        <f>SUM(E16,E22,E28)</f>
        <v>0</v>
      </c>
      <c r="C8" s="531"/>
      <c r="D8" s="208"/>
      <c r="E8" s="531">
        <f>E16</f>
        <v>0</v>
      </c>
      <c r="F8" s="531"/>
      <c r="G8" s="209"/>
      <c r="H8" s="531">
        <f>E22</f>
        <v>0</v>
      </c>
      <c r="I8" s="531"/>
      <c r="J8" s="208"/>
      <c r="K8" s="531" t="str">
        <f>IF(E28=0,"-",E28)</f>
        <v>-</v>
      </c>
      <c r="L8" s="531"/>
    </row>
    <row r="9" spans="2:17" ht="16.5" x14ac:dyDescent="0.35">
      <c r="B9" s="532" t="s">
        <v>320</v>
      </c>
      <c r="C9" s="532"/>
      <c r="E9" s="532" t="s">
        <v>320</v>
      </c>
      <c r="F9" s="532"/>
      <c r="H9" s="532" t="s">
        <v>320</v>
      </c>
      <c r="I9" s="532"/>
      <c r="K9" s="532" t="s">
        <v>320</v>
      </c>
      <c r="L9" s="532"/>
    </row>
    <row r="10" spans="2:17" ht="15" thickBot="1" x14ac:dyDescent="0.4">
      <c r="N10" t="s">
        <v>321</v>
      </c>
      <c r="Q10" t="s">
        <v>322</v>
      </c>
    </row>
    <row r="11" spans="2:17" ht="20.149999999999999" customHeight="1" x14ac:dyDescent="0.35">
      <c r="B11" s="545" t="s">
        <v>323</v>
      </c>
      <c r="C11" s="546"/>
      <c r="D11" s="534"/>
      <c r="E11" s="542">
        <f>B8/0.007</f>
        <v>0</v>
      </c>
      <c r="F11" s="542"/>
      <c r="G11" s="536"/>
      <c r="H11" s="554">
        <f>B8/0.00012</f>
        <v>0</v>
      </c>
      <c r="I11" s="554"/>
      <c r="J11" s="539"/>
      <c r="K11" s="543">
        <f>H11/40076</f>
        <v>0</v>
      </c>
      <c r="L11" s="544"/>
      <c r="N11">
        <v>120</v>
      </c>
      <c r="O11" t="s">
        <v>324</v>
      </c>
      <c r="Q11" t="s">
        <v>325</v>
      </c>
    </row>
    <row r="12" spans="2:17" ht="14.5" customHeight="1" x14ac:dyDescent="0.35">
      <c r="B12" s="547"/>
      <c r="C12" s="548"/>
      <c r="D12" s="510"/>
      <c r="E12" s="551" t="s">
        <v>326</v>
      </c>
      <c r="F12" s="552"/>
      <c r="G12" s="537"/>
      <c r="H12" s="522" t="s">
        <v>327</v>
      </c>
      <c r="I12" s="523"/>
      <c r="J12" s="540"/>
      <c r="K12" s="522" t="s">
        <v>328</v>
      </c>
      <c r="L12" s="525"/>
      <c r="N12" t="s">
        <v>329</v>
      </c>
    </row>
    <row r="13" spans="2:17" x14ac:dyDescent="0.35">
      <c r="B13" s="547"/>
      <c r="C13" s="548"/>
      <c r="D13" s="510"/>
      <c r="E13" s="552"/>
      <c r="F13" s="552"/>
      <c r="G13" s="537"/>
      <c r="H13" s="523"/>
      <c r="I13" s="523"/>
      <c r="J13" s="540"/>
      <c r="K13" s="522"/>
      <c r="L13" s="525"/>
    </row>
    <row r="14" spans="2:17" ht="15" thickBot="1" x14ac:dyDescent="0.4">
      <c r="B14" s="549"/>
      <c r="C14" s="550"/>
      <c r="D14" s="535"/>
      <c r="E14" s="553"/>
      <c r="F14" s="553"/>
      <c r="G14" s="538"/>
      <c r="H14" s="524"/>
      <c r="I14" s="524"/>
      <c r="J14" s="541"/>
      <c r="K14" s="526"/>
      <c r="L14" s="527"/>
    </row>
    <row r="15" spans="2:17" x14ac:dyDescent="0.35"/>
    <row r="16" spans="2:17" ht="20.149999999999999" customHeight="1" x14ac:dyDescent="0.35">
      <c r="B16" s="343" t="s">
        <v>330</v>
      </c>
      <c r="C16" s="60"/>
      <c r="D16" s="60"/>
      <c r="E16" s="218">
        <f>E17+E18+E19</f>
        <v>0</v>
      </c>
      <c r="F16" s="368" t="s">
        <v>331</v>
      </c>
      <c r="G16" s="214" t="s">
        <v>332</v>
      </c>
      <c r="H16" s="367" t="s">
        <v>333</v>
      </c>
    </row>
    <row r="17" spans="2:12" ht="20.149999999999999" customHeight="1" x14ac:dyDescent="0.35">
      <c r="B17" s="345" t="s">
        <v>334</v>
      </c>
      <c r="C17" s="229"/>
      <c r="D17" s="229"/>
      <c r="E17" s="219">
        <f>Calculations!AD4</f>
        <v>0</v>
      </c>
      <c r="F17" s="369" t="s">
        <v>335</v>
      </c>
      <c r="G17" s="215">
        <f>IFERROR(E17/$E$16, 0)</f>
        <v>0</v>
      </c>
      <c r="H17" s="220">
        <f>Calculations!AE4</f>
        <v>0</v>
      </c>
      <c r="J17" s="558" t="s">
        <v>336</v>
      </c>
      <c r="K17" s="559"/>
      <c r="L17" s="560"/>
    </row>
    <row r="18" spans="2:12" ht="20.149999999999999" customHeight="1" x14ac:dyDescent="0.35">
      <c r="B18" s="346" t="s">
        <v>337</v>
      </c>
      <c r="C18" s="60"/>
      <c r="D18" s="60"/>
      <c r="E18" s="221">
        <f>Calculations!AD17</f>
        <v>0</v>
      </c>
      <c r="F18" s="370" t="s">
        <v>335</v>
      </c>
      <c r="G18" s="217">
        <f>IFERROR(E18/$E$16, 0)</f>
        <v>0</v>
      </c>
      <c r="H18" s="223">
        <f>Calculations!AE17</f>
        <v>0</v>
      </c>
      <c r="J18" s="561"/>
      <c r="K18" s="562"/>
      <c r="L18" s="563"/>
    </row>
    <row r="19" spans="2:12" ht="20.149999999999999" customHeight="1" x14ac:dyDescent="0.35">
      <c r="B19" s="346" t="s">
        <v>338</v>
      </c>
      <c r="C19" s="60"/>
      <c r="D19" s="60"/>
      <c r="E19" s="221">
        <f>Calculations!AD34+Calculations!AD45</f>
        <v>0</v>
      </c>
      <c r="F19" s="370" t="s">
        <v>335</v>
      </c>
      <c r="G19" s="217">
        <f>IFERROR(E19/$E$16, 0)</f>
        <v>0</v>
      </c>
      <c r="H19" s="223">
        <f>(Calculations!AE34+Calculations!AE45)/2</f>
        <v>0</v>
      </c>
      <c r="J19" s="564" t="s">
        <v>339</v>
      </c>
      <c r="K19" s="522"/>
      <c r="L19" s="565"/>
    </row>
    <row r="20" spans="2:12" ht="20.149999999999999" customHeight="1" x14ac:dyDescent="0.35">
      <c r="B20" s="225" t="s">
        <v>340</v>
      </c>
      <c r="C20" s="225"/>
      <c r="D20" s="225"/>
      <c r="E20" s="226">
        <f>SUM(Calculations!AK12:AK15)+Calculations!AD47</f>
        <v>0</v>
      </c>
      <c r="F20" s="371" t="s">
        <v>341</v>
      </c>
      <c r="G20" s="227" t="s">
        <v>1431</v>
      </c>
      <c r="H20" s="228">
        <f>Calculations!AE47</f>
        <v>0</v>
      </c>
      <c r="J20" s="566">
        <f>Calculations!AE89</f>
        <v>0</v>
      </c>
      <c r="K20" s="567"/>
      <c r="L20" s="568"/>
    </row>
    <row r="21" spans="2:12" ht="30.65" customHeight="1" x14ac:dyDescent="0.35">
      <c r="B21" s="60"/>
      <c r="C21" s="60"/>
      <c r="D21" s="60"/>
      <c r="E21" s="221"/>
      <c r="F21" s="222"/>
      <c r="G21" s="213"/>
      <c r="H21" s="224"/>
      <c r="J21" s="569" t="s">
        <v>342</v>
      </c>
      <c r="K21" s="570"/>
      <c r="L21" s="571"/>
    </row>
    <row r="22" spans="2:12" ht="20.149999999999999" customHeight="1" x14ac:dyDescent="0.35">
      <c r="B22" s="9" t="s">
        <v>343</v>
      </c>
      <c r="C22" s="60"/>
      <c r="D22" s="60"/>
      <c r="E22" s="218">
        <f>E23+E24</f>
        <v>0</v>
      </c>
      <c r="F22" s="368" t="s">
        <v>331</v>
      </c>
      <c r="G22" s="214" t="s">
        <v>332</v>
      </c>
      <c r="H22" s="367" t="s">
        <v>333</v>
      </c>
      <c r="J22" s="572">
        <f>IFERROR(1-J20,"Waiting for input")</f>
        <v>1</v>
      </c>
      <c r="K22" s="573"/>
      <c r="L22" s="574"/>
    </row>
    <row r="23" spans="2:12" ht="20.149999999999999" customHeight="1" x14ac:dyDescent="0.35">
      <c r="B23" s="229" t="s">
        <v>344</v>
      </c>
      <c r="C23" s="229"/>
      <c r="D23" s="229"/>
      <c r="E23" s="219">
        <f>Calculations!AD77</f>
        <v>0</v>
      </c>
      <c r="F23" s="369" t="s">
        <v>335</v>
      </c>
      <c r="G23" s="215">
        <f>IFERROR(E23/$E$22,0)</f>
        <v>0</v>
      </c>
      <c r="H23" s="220">
        <f>Calculations!AE77</f>
        <v>0</v>
      </c>
      <c r="K23" s="212"/>
      <c r="L23" s="212"/>
    </row>
    <row r="24" spans="2:12" ht="20.149999999999999" customHeight="1" x14ac:dyDescent="0.35">
      <c r="B24" s="60" t="s">
        <v>345</v>
      </c>
      <c r="C24" s="60"/>
      <c r="D24" s="60"/>
      <c r="E24" s="221">
        <f>Calculations!AD85</f>
        <v>0</v>
      </c>
      <c r="F24" s="370" t="s">
        <v>335</v>
      </c>
      <c r="G24" s="216">
        <f>IFERROR(E24/$E$22,0)</f>
        <v>0</v>
      </c>
      <c r="H24" s="223">
        <f>Calculations!AE85</f>
        <v>0</v>
      </c>
    </row>
    <row r="25" spans="2:12" ht="40" customHeight="1" x14ac:dyDescent="0.35">
      <c r="B25" s="533" t="s">
        <v>346</v>
      </c>
      <c r="C25" s="533"/>
      <c r="D25" s="533"/>
      <c r="E25" s="575" t="str">
        <f>IF(OR('2. tvēruma emisijas'!H17="Jā",'2. tvēruma emisijas'!I17="Jā",'2. tvēruma emisijas'!J17="Jā"),"AES sertifikāts/PPA nav pieejams","PPA vai izcelsmes garantija ir pieejama")</f>
        <v>PPA vai izcelsmes garantija ir pieejama</v>
      </c>
      <c r="F25" s="575"/>
      <c r="G25" s="575"/>
      <c r="H25" s="575"/>
    </row>
    <row r="26" spans="2:12" ht="20.149999999999999" customHeight="1" x14ac:dyDescent="0.35">
      <c r="G26" s="6"/>
      <c r="H26" s="33"/>
    </row>
    <row r="27" spans="2:12" ht="20.149999999999999" customHeight="1" x14ac:dyDescent="0.35">
      <c r="B27" s="9" t="s">
        <v>347</v>
      </c>
      <c r="G27" s="6"/>
      <c r="H27" s="33"/>
    </row>
    <row r="28" spans="2:12" ht="20.149999999999999" customHeight="1" x14ac:dyDescent="0.35">
      <c r="B28" s="530" t="s">
        <v>348</v>
      </c>
      <c r="C28" s="530"/>
      <c r="D28" s="530"/>
      <c r="E28" s="299">
        <f>IF(Informācija!F17="Nē",0,Informācija!F21)</f>
        <v>0</v>
      </c>
      <c r="F28" s="372" t="s">
        <v>331</v>
      </c>
      <c r="G28" s="556" t="s">
        <v>349</v>
      </c>
      <c r="H28" s="556"/>
      <c r="I28" s="230"/>
      <c r="J28" s="230"/>
    </row>
    <row r="29" spans="2:12" ht="20.149999999999999" customHeight="1" x14ac:dyDescent="0.35">
      <c r="B29" s="529" t="s">
        <v>350</v>
      </c>
      <c r="C29" s="529"/>
      <c r="D29" s="529"/>
      <c r="E29" s="300">
        <f>COUNTIF(Informācija!G26:G40,"Jā")+COUNTIF(Informācija!G26:G40,"Daļēji")</f>
        <v>0</v>
      </c>
      <c r="F29" s="301"/>
      <c r="G29" s="557"/>
      <c r="H29" s="557"/>
      <c r="I29" s="230"/>
      <c r="J29" s="230"/>
    </row>
    <row r="30" spans="2:12" ht="20.149999999999999" customHeight="1" thickBot="1" x14ac:dyDescent="0.4">
      <c r="B30" s="2"/>
      <c r="F30" s="2"/>
      <c r="G30" s="6"/>
    </row>
    <row r="31" spans="2:12" ht="26.15" customHeight="1" x14ac:dyDescent="0.35">
      <c r="B31" s="54" t="s">
        <v>351</v>
      </c>
      <c r="C31" s="55"/>
      <c r="D31" s="55"/>
      <c r="E31" s="54"/>
      <c r="F31" s="54"/>
      <c r="G31" s="56"/>
      <c r="H31" s="55"/>
      <c r="I31" s="55"/>
      <c r="J31" s="55"/>
      <c r="K31" s="55"/>
      <c r="L31" s="55"/>
    </row>
    <row r="32" spans="2:12" s="57" customFormat="1" ht="25" customHeight="1" x14ac:dyDescent="0.35">
      <c r="B32" s="555" t="s">
        <v>352</v>
      </c>
      <c r="C32" s="555"/>
      <c r="D32" s="555"/>
      <c r="E32" s="210">
        <f>SUM(Calculations!AK12:AK15)</f>
        <v>0</v>
      </c>
      <c r="F32" s="211" t="s">
        <v>353</v>
      </c>
      <c r="G32" s="528" t="s">
        <v>354</v>
      </c>
      <c r="H32" s="528"/>
      <c r="I32" s="528"/>
      <c r="J32" s="528"/>
      <c r="K32" s="528"/>
      <c r="L32" s="528"/>
    </row>
    <row r="33" spans="2:12" x14ac:dyDescent="0.35">
      <c r="G33" s="6"/>
    </row>
    <row r="34" spans="2:12" ht="15" x14ac:dyDescent="0.35">
      <c r="B34" s="516" t="s">
        <v>355</v>
      </c>
      <c r="C34" s="517"/>
      <c r="D34" s="517"/>
      <c r="E34" s="518"/>
      <c r="G34" s="516" t="s">
        <v>356</v>
      </c>
      <c r="H34" s="517"/>
      <c r="I34" s="517"/>
      <c r="J34" s="517"/>
      <c r="K34" s="517"/>
      <c r="L34" s="518"/>
    </row>
    <row r="35" spans="2:12" x14ac:dyDescent="0.35">
      <c r="B35" s="16"/>
      <c r="E35" s="15"/>
      <c r="G35" s="16"/>
      <c r="L35" s="15"/>
    </row>
    <row r="36" spans="2:12" x14ac:dyDescent="0.35">
      <c r="B36" s="16"/>
      <c r="E36" s="15"/>
      <c r="G36" s="16"/>
      <c r="L36" s="15"/>
    </row>
    <row r="37" spans="2:12" x14ac:dyDescent="0.35">
      <c r="B37" s="16"/>
      <c r="E37" s="15"/>
      <c r="G37" s="16"/>
      <c r="L37" s="15"/>
    </row>
    <row r="38" spans="2:12" x14ac:dyDescent="0.35">
      <c r="B38" s="16"/>
      <c r="E38" s="15"/>
      <c r="G38" s="16"/>
      <c r="L38" s="15"/>
    </row>
    <row r="39" spans="2:12" x14ac:dyDescent="0.35">
      <c r="B39" s="16"/>
      <c r="E39" s="15"/>
      <c r="G39" s="16"/>
      <c r="L39" s="15"/>
    </row>
    <row r="40" spans="2:12" x14ac:dyDescent="0.35">
      <c r="B40" s="16"/>
      <c r="E40" s="15"/>
      <c r="G40" s="16"/>
      <c r="L40" s="15"/>
    </row>
    <row r="41" spans="2:12" x14ac:dyDescent="0.35">
      <c r="B41" s="16"/>
      <c r="E41" s="15"/>
      <c r="G41" s="16"/>
      <c r="L41" s="15"/>
    </row>
    <row r="42" spans="2:12" x14ac:dyDescent="0.35">
      <c r="B42" s="16"/>
      <c r="E42" s="15"/>
      <c r="G42" s="16"/>
      <c r="L42" s="15"/>
    </row>
    <row r="43" spans="2:12" x14ac:dyDescent="0.35">
      <c r="B43" s="16"/>
      <c r="E43" s="15"/>
      <c r="G43" s="16"/>
      <c r="L43" s="15"/>
    </row>
    <row r="44" spans="2:12" x14ac:dyDescent="0.35">
      <c r="B44" s="16"/>
      <c r="E44" s="15"/>
      <c r="G44" s="16"/>
      <c r="L44" s="15"/>
    </row>
    <row r="45" spans="2:12" x14ac:dyDescent="0.35">
      <c r="B45" s="16"/>
      <c r="E45" s="15"/>
      <c r="G45" s="16"/>
      <c r="L45" s="15"/>
    </row>
    <row r="46" spans="2:12" x14ac:dyDescent="0.35">
      <c r="B46" s="17"/>
      <c r="C46" s="18"/>
      <c r="D46" s="18"/>
      <c r="E46" s="19"/>
      <c r="G46" s="17"/>
      <c r="H46" s="18"/>
      <c r="I46" s="18"/>
      <c r="J46" s="18"/>
      <c r="K46" s="18"/>
      <c r="L46" s="19"/>
    </row>
    <row r="47" spans="2:12" x14ac:dyDescent="0.35"/>
    <row r="48" spans="2:12" x14ac:dyDescent="0.35"/>
    <row r="49" spans="2:13" ht="16.5" x14ac:dyDescent="0.35">
      <c r="B49" s="516" t="s">
        <v>357</v>
      </c>
      <c r="C49" s="517"/>
      <c r="D49" s="517"/>
      <c r="E49" s="518"/>
      <c r="G49" s="519" t="s">
        <v>358</v>
      </c>
      <c r="H49" s="520"/>
      <c r="I49" s="520"/>
      <c r="J49" s="520"/>
      <c r="K49" s="520"/>
      <c r="L49" s="521"/>
      <c r="M49" s="60"/>
    </row>
    <row r="50" spans="2:13" x14ac:dyDescent="0.35">
      <c r="B50" s="16"/>
      <c r="F50" s="298"/>
      <c r="G50" s="509"/>
      <c r="H50" s="510"/>
      <c r="I50" s="510"/>
      <c r="J50" s="510"/>
      <c r="K50" s="510"/>
      <c r="L50" s="511"/>
    </row>
    <row r="51" spans="2:13" x14ac:dyDescent="0.35">
      <c r="B51" s="16"/>
      <c r="F51" s="298"/>
      <c r="G51" s="509"/>
      <c r="H51" s="510"/>
      <c r="I51" s="510"/>
      <c r="J51" s="510"/>
      <c r="K51" s="510"/>
      <c r="L51" s="511"/>
    </row>
    <row r="52" spans="2:13" x14ac:dyDescent="0.35">
      <c r="B52" s="16"/>
      <c r="F52" s="298"/>
      <c r="G52" s="509"/>
      <c r="H52" s="510"/>
      <c r="I52" s="510"/>
      <c r="J52" s="510"/>
      <c r="K52" s="510"/>
      <c r="L52" s="511"/>
    </row>
    <row r="53" spans="2:13" x14ac:dyDescent="0.35">
      <c r="B53" s="16"/>
      <c r="F53" s="298"/>
      <c r="G53" s="509"/>
      <c r="H53" s="510"/>
      <c r="I53" s="510"/>
      <c r="J53" s="510"/>
      <c r="K53" s="510"/>
      <c r="L53" s="511"/>
    </row>
    <row r="54" spans="2:13" x14ac:dyDescent="0.35">
      <c r="B54" s="16"/>
      <c r="F54" s="298"/>
      <c r="G54" s="509"/>
      <c r="H54" s="510"/>
      <c r="I54" s="510"/>
      <c r="J54" s="510"/>
      <c r="K54" s="510"/>
      <c r="L54" s="511"/>
    </row>
    <row r="55" spans="2:13" x14ac:dyDescent="0.35">
      <c r="B55" s="16"/>
      <c r="F55" s="298"/>
      <c r="G55" s="509"/>
      <c r="H55" s="510"/>
      <c r="I55" s="510"/>
      <c r="J55" s="510"/>
      <c r="K55" s="510"/>
      <c r="L55" s="511"/>
    </row>
    <row r="56" spans="2:13" x14ac:dyDescent="0.35">
      <c r="B56" s="16"/>
      <c r="F56" s="298"/>
      <c r="G56" s="509"/>
      <c r="H56" s="510"/>
      <c r="I56" s="510"/>
      <c r="J56" s="510"/>
      <c r="K56" s="510"/>
      <c r="L56" s="511"/>
      <c r="M56" s="302" t="s">
        <v>79</v>
      </c>
    </row>
    <row r="57" spans="2:13" x14ac:dyDescent="0.35">
      <c r="B57" s="16"/>
      <c r="F57" s="298"/>
      <c r="G57" s="509"/>
      <c r="H57" s="510"/>
      <c r="I57" s="510"/>
      <c r="J57" s="510"/>
      <c r="K57" s="510"/>
      <c r="L57" s="511"/>
      <c r="M57" s="302" t="s">
        <v>359</v>
      </c>
    </row>
    <row r="58" spans="2:13" x14ac:dyDescent="0.35">
      <c r="B58" s="16"/>
      <c r="F58" s="298"/>
      <c r="G58" s="509"/>
      <c r="H58" s="510"/>
      <c r="I58" s="510"/>
      <c r="J58" s="510"/>
      <c r="K58" s="510"/>
      <c r="L58" s="511"/>
      <c r="M58" s="302" t="s">
        <v>348</v>
      </c>
    </row>
    <row r="59" spans="2:13" x14ac:dyDescent="0.35">
      <c r="B59" s="17"/>
      <c r="C59" s="18"/>
      <c r="D59" s="18"/>
      <c r="E59" s="18"/>
      <c r="F59" s="298"/>
      <c r="G59" s="512"/>
      <c r="H59" s="513"/>
      <c r="I59" s="513"/>
      <c r="J59" s="513"/>
      <c r="K59" s="513"/>
      <c r="L59" s="514"/>
    </row>
    <row r="60" spans="2:13" x14ac:dyDescent="0.35"/>
    <row r="62" spans="2:13" ht="15" hidden="1" customHeight="1" x14ac:dyDescent="0.35"/>
  </sheetData>
  <sheetProtection algorithmName="SHA-512" hashValue="l5zdL58FYEPfF7TIRr91M60NwQZjf5UDG3L7BxexGEZZKTCy4VhuvngoSPSvG8e9Hom1lQB5Lltaz0az9JbFUg==" saltValue="c+ke+u6IE97hfyafZ/hhvA==" spinCount="100000" sheet="1" selectLockedCells="1" selectUnlockedCells="1"/>
  <mergeCells count="39">
    <mergeCell ref="B32:D32"/>
    <mergeCell ref="G28:H29"/>
    <mergeCell ref="J17:L18"/>
    <mergeCell ref="J19:L19"/>
    <mergeCell ref="J20:L20"/>
    <mergeCell ref="J21:L21"/>
    <mergeCell ref="J22:L22"/>
    <mergeCell ref="E25:H25"/>
    <mergeCell ref="K8:L8"/>
    <mergeCell ref="K9:L9"/>
    <mergeCell ref="B25:D25"/>
    <mergeCell ref="D11:D14"/>
    <mergeCell ref="G11:G14"/>
    <mergeCell ref="J11:J14"/>
    <mergeCell ref="E11:F11"/>
    <mergeCell ref="K11:L11"/>
    <mergeCell ref="B11:C14"/>
    <mergeCell ref="E12:F14"/>
    <mergeCell ref="H11:I11"/>
    <mergeCell ref="E8:F8"/>
    <mergeCell ref="E9:F9"/>
    <mergeCell ref="H8:I8"/>
    <mergeCell ref="H9:I9"/>
    <mergeCell ref="G50:L59"/>
    <mergeCell ref="K4:L4"/>
    <mergeCell ref="G4:J4"/>
    <mergeCell ref="B34:E34"/>
    <mergeCell ref="B49:E49"/>
    <mergeCell ref="G34:L34"/>
    <mergeCell ref="G49:L49"/>
    <mergeCell ref="H12:I14"/>
    <mergeCell ref="K12:L14"/>
    <mergeCell ref="B4:C4"/>
    <mergeCell ref="D4:F4"/>
    <mergeCell ref="G32:L32"/>
    <mergeCell ref="B29:D29"/>
    <mergeCell ref="B28:D28"/>
    <mergeCell ref="B8:C8"/>
    <mergeCell ref="B9:C9"/>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'1. tvēruma emisijas'!$G$84="NO"</xm:f>
            <x14:dxf>
              <font>
                <color auto="1"/>
              </font>
              <fill>
                <patternFill>
                  <bgColor theme="1"/>
                </patternFill>
              </fill>
            </x14:dxf>
          </x14:cfRule>
          <xm:sqref>E20 G20:H20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H86" sqref="H86"/>
    </sheetView>
  </sheetViews>
  <sheetFormatPr defaultRowHeight="14.5" zeroHeight="1" x14ac:dyDescent="0.3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sheetPr>
    <tabColor theme="0" tint="-0.249977111117893"/>
  </sheetPr>
  <dimension ref="A1:AP90"/>
  <sheetViews>
    <sheetView showGridLines="0" topLeftCell="A55" zoomScale="90" zoomScaleNormal="90" workbookViewId="0">
      <selection activeCell="H86" sqref="H86"/>
    </sheetView>
  </sheetViews>
  <sheetFormatPr defaultColWidth="0" defaultRowHeight="14.5" x14ac:dyDescent="0.35"/>
  <cols>
    <col min="1" max="1" width="40" style="233" bestFit="1" customWidth="1"/>
    <col min="2" max="2" width="11.54296875" style="233" customWidth="1"/>
    <col min="3" max="3" width="15.54296875" style="291" customWidth="1"/>
    <col min="4" max="4" width="11.54296875" style="291" customWidth="1"/>
    <col min="5" max="5" width="49.453125" style="291" bestFit="1" customWidth="1"/>
    <col min="6" max="6" width="40.7265625" style="291" bestFit="1" customWidth="1"/>
    <col min="7" max="7" width="33.54296875" style="291" customWidth="1"/>
    <col min="8" max="8" width="15.54296875" style="291" customWidth="1"/>
    <col min="9" max="9" width="11.54296875" style="291" customWidth="1"/>
    <col min="10" max="10" width="15.54296875" style="291" customWidth="1"/>
    <col min="11" max="11" width="11.54296875" style="291" customWidth="1"/>
    <col min="12" max="15" width="22.54296875" style="291" customWidth="1"/>
    <col min="16" max="16" width="12.7265625" style="291" bestFit="1" customWidth="1"/>
    <col min="17" max="17" width="7.81640625" style="291" bestFit="1" customWidth="1"/>
    <col min="18" max="18" width="15.1796875" style="291" customWidth="1"/>
    <col min="19" max="19" width="8.1796875" style="291" bestFit="1" customWidth="1"/>
    <col min="20" max="20" width="16.1796875" style="291" customWidth="1"/>
    <col min="21" max="21" width="7" style="291" bestFit="1" customWidth="1"/>
    <col min="22" max="22" width="16.54296875" style="291" bestFit="1" customWidth="1"/>
    <col min="23" max="23" width="6.81640625" style="291" bestFit="1" customWidth="1"/>
    <col min="24" max="25" width="15.54296875" style="291" customWidth="1"/>
    <col min="26" max="26" width="15.54296875" style="233" customWidth="1"/>
    <col min="27" max="27" width="30.54296875" style="231" customWidth="1"/>
    <col min="28" max="30" width="15.54296875" style="232" customWidth="1"/>
    <col min="31" max="31" width="15.54296875" style="233" customWidth="1"/>
    <col min="32" max="32" width="5.54296875" style="233" customWidth="1"/>
    <col min="33" max="37" width="15.54296875" style="233" customWidth="1"/>
    <col min="38" max="38" width="5.54296875" style="233" customWidth="1"/>
    <col min="39" max="42" width="0" style="234" hidden="1" customWidth="1"/>
    <col min="43" max="16384" width="8.7265625" style="234" hidden="1"/>
  </cols>
  <sheetData>
    <row r="1" spans="1:40" ht="22" customHeight="1" x14ac:dyDescent="0.35">
      <c r="A1" s="576" t="s">
        <v>360</v>
      </c>
      <c r="B1" s="577"/>
      <c r="C1" s="587" t="s">
        <v>361</v>
      </c>
      <c r="D1" s="588"/>
      <c r="E1" s="588"/>
      <c r="F1" s="588"/>
      <c r="G1" s="588"/>
      <c r="H1" s="588"/>
      <c r="I1" s="588"/>
      <c r="J1" s="588"/>
      <c r="K1" s="589"/>
      <c r="L1" s="601" t="s">
        <v>362</v>
      </c>
      <c r="M1" s="587" t="s">
        <v>363</v>
      </c>
      <c r="N1" s="588"/>
      <c r="O1" s="589"/>
      <c r="P1" s="588" t="s">
        <v>364</v>
      </c>
      <c r="Q1" s="588"/>
      <c r="R1" s="588"/>
      <c r="S1" s="588"/>
      <c r="T1" s="588"/>
      <c r="U1" s="588"/>
      <c r="V1" s="598" t="s">
        <v>365</v>
      </c>
      <c r="W1" s="599"/>
      <c r="X1" s="599"/>
      <c r="Y1" s="599"/>
      <c r="Z1" s="600"/>
      <c r="AM1" s="234" t="s">
        <v>366</v>
      </c>
      <c r="AN1" s="234">
        <f>Informācija!F10</f>
        <v>0</v>
      </c>
    </row>
    <row r="2" spans="1:40" ht="22" customHeight="1" thickBot="1" x14ac:dyDescent="0.4">
      <c r="A2" s="235" t="s">
        <v>367</v>
      </c>
      <c r="B2" s="236" t="s">
        <v>368</v>
      </c>
      <c r="C2" s="237" t="s">
        <v>369</v>
      </c>
      <c r="D2" s="238" t="s">
        <v>370</v>
      </c>
      <c r="E2" s="238" t="s">
        <v>371</v>
      </c>
      <c r="F2" s="238" t="s">
        <v>372</v>
      </c>
      <c r="G2" s="238" t="s">
        <v>373</v>
      </c>
      <c r="H2" s="238" t="s">
        <v>374</v>
      </c>
      <c r="I2" s="238" t="s">
        <v>375</v>
      </c>
      <c r="J2" s="238" t="s">
        <v>376</v>
      </c>
      <c r="K2" s="239" t="s">
        <v>377</v>
      </c>
      <c r="L2" s="602"/>
      <c r="M2" s="237" t="s">
        <v>378</v>
      </c>
      <c r="N2" s="238" t="s">
        <v>379</v>
      </c>
      <c r="O2" s="239" t="s">
        <v>380</v>
      </c>
      <c r="P2" s="240" t="s">
        <v>381</v>
      </c>
      <c r="Q2" s="238" t="s">
        <v>382</v>
      </c>
      <c r="R2" s="238" t="s">
        <v>383</v>
      </c>
      <c r="S2" s="238" t="s">
        <v>382</v>
      </c>
      <c r="T2" s="238" t="s">
        <v>384</v>
      </c>
      <c r="U2" s="241" t="s">
        <v>382</v>
      </c>
      <c r="V2" s="237" t="s">
        <v>385</v>
      </c>
      <c r="W2" s="238" t="s">
        <v>386</v>
      </c>
      <c r="X2" s="238" t="s">
        <v>387</v>
      </c>
      <c r="Y2" s="238" t="s">
        <v>388</v>
      </c>
      <c r="Z2" s="242" t="s">
        <v>389</v>
      </c>
      <c r="AA2" s="243"/>
      <c r="AB2" s="244" t="s">
        <v>387</v>
      </c>
      <c r="AC2" s="244" t="s">
        <v>388</v>
      </c>
      <c r="AD2" s="244" t="s">
        <v>390</v>
      </c>
      <c r="AE2" s="245" t="s">
        <v>391</v>
      </c>
    </row>
    <row r="3" spans="1:40" ht="22" customHeight="1" x14ac:dyDescent="0.35">
      <c r="A3" s="246" t="s">
        <v>392</v>
      </c>
      <c r="B3" s="247"/>
      <c r="C3" s="595"/>
      <c r="D3" s="596"/>
      <c r="E3" s="596"/>
      <c r="F3" s="596"/>
      <c r="G3" s="596"/>
      <c r="H3" s="596"/>
      <c r="I3" s="596"/>
      <c r="J3" s="596"/>
      <c r="K3" s="597"/>
      <c r="L3" s="249"/>
      <c r="M3" s="595"/>
      <c r="N3" s="596"/>
      <c r="O3" s="597"/>
      <c r="P3" s="595"/>
      <c r="Q3" s="596"/>
      <c r="R3" s="596"/>
      <c r="S3" s="596"/>
      <c r="T3" s="596"/>
      <c r="U3" s="597"/>
      <c r="V3" s="603"/>
      <c r="W3" s="604"/>
      <c r="X3" s="604"/>
      <c r="Y3" s="604"/>
      <c r="Z3" s="605"/>
      <c r="AA3" s="250" t="s">
        <v>393</v>
      </c>
      <c r="AB3" s="251">
        <f>AB4+AB12+AB17+AB34+AB45+AB47</f>
        <v>0</v>
      </c>
      <c r="AC3" s="251">
        <f>AC4+AC12+AC17+AC34+AC45+AC47</f>
        <v>0</v>
      </c>
      <c r="AD3" s="251">
        <f>AD4+AD12+AD17+AD34+AD45+AD47</f>
        <v>0</v>
      </c>
      <c r="AE3" s="252">
        <f>IFERROR(AB3/AD3,0)</f>
        <v>0</v>
      </c>
    </row>
    <row r="4" spans="1:40" ht="22" customHeight="1" x14ac:dyDescent="0.35">
      <c r="A4" s="253" t="s">
        <v>394</v>
      </c>
      <c r="B4" s="254"/>
      <c r="C4" s="592"/>
      <c r="D4" s="593"/>
      <c r="E4" s="593"/>
      <c r="F4" s="593"/>
      <c r="G4" s="593"/>
      <c r="H4" s="593"/>
      <c r="I4" s="593"/>
      <c r="J4" s="593"/>
      <c r="K4" s="594"/>
      <c r="L4" s="255"/>
      <c r="M4" s="592"/>
      <c r="N4" s="593"/>
      <c r="O4" s="594"/>
      <c r="P4" s="592"/>
      <c r="Q4" s="593"/>
      <c r="R4" s="593"/>
      <c r="S4" s="593"/>
      <c r="T4" s="593"/>
      <c r="U4" s="594"/>
      <c r="V4" s="606"/>
      <c r="W4" s="607"/>
      <c r="X4" s="607"/>
      <c r="Y4" s="607"/>
      <c r="Z4" s="608"/>
      <c r="AA4" s="256" t="s">
        <v>395</v>
      </c>
      <c r="AB4" s="257">
        <f>SUM(X5:X10)</f>
        <v>0</v>
      </c>
      <c r="AC4" s="257">
        <f>SUM(Y5:Y10)</f>
        <v>0</v>
      </c>
      <c r="AD4" s="257">
        <f>SUM(V5:V10)+SUM(V12:V15)</f>
        <v>0</v>
      </c>
      <c r="AE4" s="258">
        <f>IFERROR(AB4/AD4,0)</f>
        <v>0</v>
      </c>
    </row>
    <row r="5" spans="1:40" ht="22" customHeight="1" x14ac:dyDescent="0.35">
      <c r="A5" s="259" t="s">
        <v>396</v>
      </c>
      <c r="B5" s="260" t="str" cm="1">
        <f t="array" ref="B5">IFERROR(_xlfn.IFS('1. tvēruma emisijas'!C18="Yes","YES",'1. tvēruma emisijas'!C18="Jah","YES", '1. tvēruma emisijas'!C18="Taip","YES",'1. tvēruma emisijas'!C18="Jā","YES"),"NO")</f>
        <v>NO</v>
      </c>
      <c r="C5" s="261">
        <f>IF(B5="YES",'1. tvēruma emisijas'!E18, 0)</f>
        <v>0</v>
      </c>
      <c r="D5" s="262">
        <f>'1. tvēruma emisijas'!F18</f>
        <v>0</v>
      </c>
      <c r="E5" s="262" t="str">
        <f>A5&amp;" "&amp;D5</f>
        <v>Natural gas 0</v>
      </c>
      <c r="F5" s="263"/>
      <c r="G5" s="263"/>
      <c r="H5" s="262">
        <f>IF(B5="YES",'1. tvēruma emisijas'!I18,0)</f>
        <v>0</v>
      </c>
      <c r="I5" s="262" t="str">
        <f>'1. tvēruma emisijas'!J18</f>
        <v>m2</v>
      </c>
      <c r="J5" s="263"/>
      <c r="K5" s="264"/>
      <c r="L5" s="265">
        <f>'Benchmark CIBSE'!$B$9</f>
        <v>101.71428571428571</v>
      </c>
      <c r="M5" s="261">
        <f>IFERROR(VLOOKUP(E5,'Carbon Factors'!$B$2:$H$481,5,FALSE),0)</f>
        <v>0</v>
      </c>
      <c r="N5" s="262">
        <f>IFERROR(VLOOKUP((A5&amp;" kWh"),'Carbon Factors'!$B$2:$H$481,5,FALSE),0)</f>
        <v>2.0264E-4</v>
      </c>
      <c r="O5" s="264"/>
      <c r="P5" s="266">
        <f>C5*M5</f>
        <v>0</v>
      </c>
      <c r="Q5" s="267">
        <f>IFERROR(VLOOKUP(E5,'Carbon Factors'!$B$2:$K$448,9,FALSE),0)</f>
        <v>0</v>
      </c>
      <c r="R5" s="262">
        <f>H5*L5*N5</f>
        <v>0</v>
      </c>
      <c r="S5" s="267" t="str">
        <f>IFERROR(VLOOKUP((A5&amp;" kWh"),'Carbon Factors'!$B$2:$K$448,9,FALSE),0)</f>
        <v>tCO2e</v>
      </c>
      <c r="T5" s="263"/>
      <c r="U5" s="264"/>
      <c r="V5" s="261">
        <f>P5+R5</f>
        <v>0</v>
      </c>
      <c r="W5" s="262">
        <f>Q5</f>
        <v>0</v>
      </c>
      <c r="X5" s="262">
        <f>P5</f>
        <v>0</v>
      </c>
      <c r="Y5" s="262">
        <f>R5</f>
        <v>0</v>
      </c>
      <c r="Z5" s="258">
        <f>IFERROR(P5/V5,0)</f>
        <v>0</v>
      </c>
    </row>
    <row r="6" spans="1:40" ht="22" customHeight="1" x14ac:dyDescent="0.35">
      <c r="A6" s="259" t="s">
        <v>397</v>
      </c>
      <c r="B6" s="260" t="str" cm="1">
        <f t="array" ref="B6">IFERROR(_xlfn.IFS('1. tvēruma emisijas'!C19="Yes","YES",'1. tvēruma emisijas'!C19="Jah","YES", '1. tvēruma emisijas'!C19="Taip","YES",'1. tvēruma emisijas'!C19="Jā","YES"),"NO")</f>
        <v>NO</v>
      </c>
      <c r="C6" s="261">
        <f>IF(B6="YES",'1. tvēruma emisijas'!E19, 0)</f>
        <v>0</v>
      </c>
      <c r="D6" s="262">
        <f>'1. tvēruma emisijas'!F19</f>
        <v>0</v>
      </c>
      <c r="E6" s="262" t="str">
        <f t="shared" ref="E6:E15" si="0">A6&amp;" "&amp;D6</f>
        <v>Burning oil 0</v>
      </c>
      <c r="F6" s="263"/>
      <c r="G6" s="263"/>
      <c r="H6" s="262">
        <f>IF(B6="YES",'1. tvēruma emisijas'!I19,0)</f>
        <v>0</v>
      </c>
      <c r="I6" s="262" t="str">
        <f>'1. tvēruma emisijas'!J19</f>
        <v>m2</v>
      </c>
      <c r="J6" s="263"/>
      <c r="K6" s="264"/>
      <c r="L6" s="265">
        <f>'Benchmark CIBSE'!$B$9</f>
        <v>101.71428571428571</v>
      </c>
      <c r="M6" s="261">
        <f>IFERROR(VLOOKUP(E6,'Carbon Factors'!$B$2:$H$481,5,FALSE),0)</f>
        <v>0</v>
      </c>
      <c r="N6" s="262">
        <f>IFERROR(VLOOKUP((A6&amp;" kWh"),'Carbon Factors'!$B$2:$H$481,5,FALSE),0)</f>
        <v>2.5975E-4</v>
      </c>
      <c r="O6" s="264"/>
      <c r="P6" s="266">
        <f t="shared" ref="P6:P15" si="1">C6*M6</f>
        <v>0</v>
      </c>
      <c r="Q6" s="267">
        <f>IFERROR(VLOOKUP(E6,'Carbon Factors'!$B$2:$K$448,9,FALSE),0)</f>
        <v>0</v>
      </c>
      <c r="R6" s="262">
        <f t="shared" ref="R6:R15" si="2">H6*L6*N6</f>
        <v>0</v>
      </c>
      <c r="S6" s="267" t="str">
        <f>IFERROR(VLOOKUP((A6&amp;" kWh"),'Carbon Factors'!$B$2:$K$448,9,FALSE),0)</f>
        <v>tCO2e</v>
      </c>
      <c r="T6" s="263"/>
      <c r="U6" s="264"/>
      <c r="V6" s="261">
        <f t="shared" ref="V6:V14" si="3">P6+R6</f>
        <v>0</v>
      </c>
      <c r="W6" s="262">
        <f t="shared" ref="W6:W31" si="4">Q6</f>
        <v>0</v>
      </c>
      <c r="X6" s="262">
        <f t="shared" ref="X6:X17" si="5">P6</f>
        <v>0</v>
      </c>
      <c r="Y6" s="262">
        <f t="shared" ref="Y6:Y15" si="6">R6</f>
        <v>0</v>
      </c>
      <c r="Z6" s="258">
        <f t="shared" ref="Z6:Z15" si="7">IFERROR(P6/V6,0)</f>
        <v>0</v>
      </c>
    </row>
    <row r="7" spans="1:40" ht="22" customHeight="1" x14ac:dyDescent="0.35">
      <c r="A7" s="259" t="s">
        <v>398</v>
      </c>
      <c r="B7" s="260" t="str" cm="1">
        <f t="array" ref="B7">IFERROR(_xlfn.IFS('1. tvēruma emisijas'!C20="Yes","YES",'1. tvēruma emisijas'!C20="Jah","YES", '1. tvēruma emisijas'!C20="Taip","YES",'1. tvēruma emisijas'!C20="Jā","YES"),"NO")</f>
        <v>NO</v>
      </c>
      <c r="C7" s="261">
        <f>IF(B7="YES",'1. tvēruma emisijas'!E20, 0)</f>
        <v>0</v>
      </c>
      <c r="D7" s="262">
        <f>'1. tvēruma emisijas'!F20</f>
        <v>0</v>
      </c>
      <c r="E7" s="262" t="str">
        <f t="shared" si="0"/>
        <v>Diesel 0</v>
      </c>
      <c r="F7" s="263"/>
      <c r="G7" s="263"/>
      <c r="H7" s="262">
        <f>IF(B7="YES",'1. tvēruma emisijas'!I20,0)</f>
        <v>0</v>
      </c>
      <c r="I7" s="262" t="str">
        <f>'1. tvēruma emisijas'!J20</f>
        <v>m2</v>
      </c>
      <c r="J7" s="263"/>
      <c r="K7" s="264"/>
      <c r="L7" s="265">
        <f>'Benchmark CIBSE'!$B$9</f>
        <v>101.71428571428571</v>
      </c>
      <c r="M7" s="261">
        <f>IFERROR(VLOOKUP(E7,'Carbon Factors'!$B$2:$H$481,5,FALSE),0)</f>
        <v>0</v>
      </c>
      <c r="N7" s="262">
        <f>IFERROR(VLOOKUP((A7&amp;" kWh"),'Carbon Factors'!$B$2:$H$481,5,FALSE),0)</f>
        <v>2.5402999999999998E-4</v>
      </c>
      <c r="O7" s="264"/>
      <c r="P7" s="266">
        <f t="shared" si="1"/>
        <v>0</v>
      </c>
      <c r="Q7" s="267">
        <f>IFERROR(VLOOKUP(E7,'Carbon Factors'!$B$2:$K$448,9,FALSE),0)</f>
        <v>0</v>
      </c>
      <c r="R7" s="262">
        <f t="shared" si="2"/>
        <v>0</v>
      </c>
      <c r="S7" s="267" t="str">
        <f>IFERROR(VLOOKUP((A7&amp;" kWh"),'Carbon Factors'!$B$2:$K$448,9,FALSE),0)</f>
        <v>tCO2e</v>
      </c>
      <c r="T7" s="263"/>
      <c r="U7" s="264"/>
      <c r="V7" s="261">
        <f t="shared" si="3"/>
        <v>0</v>
      </c>
      <c r="W7" s="262">
        <f t="shared" si="4"/>
        <v>0</v>
      </c>
      <c r="X7" s="262">
        <f t="shared" si="5"/>
        <v>0</v>
      </c>
      <c r="Y7" s="262">
        <f t="shared" si="6"/>
        <v>0</v>
      </c>
      <c r="Z7" s="258">
        <f t="shared" si="7"/>
        <v>0</v>
      </c>
    </row>
    <row r="8" spans="1:40" ht="22" customHeight="1" x14ac:dyDescent="0.35">
      <c r="A8" s="259" t="s">
        <v>399</v>
      </c>
      <c r="B8" s="260" t="str" cm="1">
        <f t="array" ref="B8">IFERROR(_xlfn.IFS('1. tvēruma emisijas'!C21="Yes","YES",'1. tvēruma emisijas'!C21="Jah","YES", '1. tvēruma emisijas'!C21="Taip","YES",'1. tvēruma emisijas'!C21="Jā","YES"),"NO")</f>
        <v>NO</v>
      </c>
      <c r="C8" s="261">
        <f>IF(B8="YES",'1. tvēruma emisijas'!E21, 0)</f>
        <v>0</v>
      </c>
      <c r="D8" s="262">
        <f>'1. tvēruma emisijas'!F21</f>
        <v>0</v>
      </c>
      <c r="E8" s="262" t="str">
        <f t="shared" si="0"/>
        <v>Coal 0</v>
      </c>
      <c r="F8" s="263"/>
      <c r="G8" s="263"/>
      <c r="H8" s="262">
        <f>IF(B8="YES",'1. tvēruma emisijas'!I21,0)</f>
        <v>0</v>
      </c>
      <c r="I8" s="262" t="str">
        <f>'1. tvēruma emisijas'!J21</f>
        <v>m2</v>
      </c>
      <c r="J8" s="263"/>
      <c r="K8" s="264"/>
      <c r="L8" s="265">
        <f>'Benchmark CIBSE'!$B$9</f>
        <v>101.71428571428571</v>
      </c>
      <c r="M8" s="261">
        <f>IFERROR(VLOOKUP(E8,'Carbon Factors'!$B$2:$H$481,5,FALSE),0)</f>
        <v>0</v>
      </c>
      <c r="N8" s="262">
        <f>IFERROR(VLOOKUP((A8&amp;" kWh"),'Carbon Factors'!$B$2:$H$481,5,FALSE),0)</f>
        <v>3.6549E-4</v>
      </c>
      <c r="O8" s="264"/>
      <c r="P8" s="266">
        <f t="shared" si="1"/>
        <v>0</v>
      </c>
      <c r="Q8" s="267">
        <f>IFERROR(VLOOKUP(E8,'Carbon Factors'!$B$2:$K$448,9,FALSE),0)</f>
        <v>0</v>
      </c>
      <c r="R8" s="262">
        <f t="shared" si="2"/>
        <v>0</v>
      </c>
      <c r="S8" s="267" t="str">
        <f>IFERROR(VLOOKUP((A8&amp;" kWh"),'Carbon Factors'!$B$2:$K$448,9,FALSE),0)</f>
        <v>tCO2e</v>
      </c>
      <c r="T8" s="263"/>
      <c r="U8" s="264"/>
      <c r="V8" s="261">
        <f t="shared" si="3"/>
        <v>0</v>
      </c>
      <c r="W8" s="262">
        <f t="shared" si="4"/>
        <v>0</v>
      </c>
      <c r="X8" s="262">
        <f t="shared" si="5"/>
        <v>0</v>
      </c>
      <c r="Y8" s="262">
        <f t="shared" si="6"/>
        <v>0</v>
      </c>
      <c r="Z8" s="258">
        <f t="shared" si="7"/>
        <v>0</v>
      </c>
    </row>
    <row r="9" spans="1:40" ht="22" customHeight="1" x14ac:dyDescent="0.35">
      <c r="A9" s="259" t="s">
        <v>96</v>
      </c>
      <c r="B9" s="260" t="str" cm="1">
        <f t="array" ref="B9">IFERROR(_xlfn.IFS('1. tvēruma emisijas'!C22="Yes","YES",'1. tvēruma emisijas'!C22="Jah","YES", '1. tvēruma emisijas'!C22="Taip","YES",'1. tvēruma emisijas'!C22="Jā","YES"),"NO")</f>
        <v>NO</v>
      </c>
      <c r="C9" s="261">
        <f>IF(B9="YES",'1. tvēruma emisijas'!E22, 0)</f>
        <v>0</v>
      </c>
      <c r="D9" s="262">
        <f>'1. tvēruma emisijas'!F22</f>
        <v>0</v>
      </c>
      <c r="E9" s="262" t="str">
        <f t="shared" si="0"/>
        <v>LPG 0</v>
      </c>
      <c r="F9" s="263"/>
      <c r="G9" s="263"/>
      <c r="H9" s="262">
        <f>IF(B9="YES",'1. tvēruma emisijas'!I22,0)</f>
        <v>0</v>
      </c>
      <c r="I9" s="262" t="str">
        <f>'1. tvēruma emisijas'!J22</f>
        <v>m2</v>
      </c>
      <c r="J9" s="263"/>
      <c r="K9" s="264"/>
      <c r="L9" s="265">
        <f>'Benchmark CIBSE'!$B$9</f>
        <v>101.71428571428571</v>
      </c>
      <c r="M9" s="261">
        <f>IFERROR(VLOOKUP(E9,'Carbon Factors'!$B$2:$H$481,5,FALSE),0)</f>
        <v>0</v>
      </c>
      <c r="N9" s="262">
        <f>IFERROR(VLOOKUP((A9&amp;" kWh"),'Carbon Factors'!$B$2:$H$481,5,FALSE),0)</f>
        <v>2.3030999999999998E-4</v>
      </c>
      <c r="O9" s="264"/>
      <c r="P9" s="266">
        <f t="shared" si="1"/>
        <v>0</v>
      </c>
      <c r="Q9" s="267">
        <f>IFERROR(VLOOKUP(E9,'Carbon Factors'!$B$2:$K$448,9,FALSE),0)</f>
        <v>0</v>
      </c>
      <c r="R9" s="262">
        <f>H9*L9*N9</f>
        <v>0</v>
      </c>
      <c r="S9" s="267" t="str">
        <f>IFERROR(VLOOKUP((A9&amp;" kWh"),'Carbon Factors'!$B$2:$K$448,9,FALSE),0)</f>
        <v>tCO2e</v>
      </c>
      <c r="T9" s="263"/>
      <c r="U9" s="264"/>
      <c r="V9" s="261">
        <f t="shared" si="3"/>
        <v>0</v>
      </c>
      <c r="W9" s="262">
        <f t="shared" si="4"/>
        <v>0</v>
      </c>
      <c r="X9" s="262">
        <f t="shared" si="5"/>
        <v>0</v>
      </c>
      <c r="Y9" s="262">
        <f t="shared" si="6"/>
        <v>0</v>
      </c>
      <c r="Z9" s="258">
        <f t="shared" si="7"/>
        <v>0</v>
      </c>
      <c r="AG9" s="609" t="s">
        <v>400</v>
      </c>
      <c r="AH9" s="609"/>
      <c r="AI9" s="609"/>
      <c r="AJ9" s="609"/>
      <c r="AK9" s="609"/>
    </row>
    <row r="10" spans="1:40" ht="22" customHeight="1" x14ac:dyDescent="0.35">
      <c r="A10" s="259" t="s">
        <v>401</v>
      </c>
      <c r="B10" s="260" t="str" cm="1">
        <f t="array" ref="B10">IFERROR(_xlfn.IFS('1. tvēruma emisijas'!C23="Yes","YES",'1. tvēruma emisijas'!C23="Jah","YES", '1. tvēruma emisijas'!C23="Taip","YES",'1. tvēruma emisijas'!C23="Jā","YES"),"NO")</f>
        <v>NO</v>
      </c>
      <c r="C10" s="261">
        <f>IF(B10="YES",'1. tvēruma emisijas'!E23, 0)</f>
        <v>0</v>
      </c>
      <c r="D10" s="262">
        <f>'1. tvēruma emisijas'!F23</f>
        <v>0</v>
      </c>
      <c r="E10" s="262" t="str">
        <f t="shared" si="0"/>
        <v>Propane 0</v>
      </c>
      <c r="F10" s="263"/>
      <c r="G10" s="263"/>
      <c r="H10" s="262">
        <f>IF(B10="YES",'1. tvēruma emisijas'!I23,0)</f>
        <v>0</v>
      </c>
      <c r="I10" s="262" t="str">
        <f>'1. tvēruma emisijas'!J23</f>
        <v>m2</v>
      </c>
      <c r="J10" s="263"/>
      <c r="K10" s="264"/>
      <c r="L10" s="265">
        <f>'Benchmark CIBSE'!$B$9</f>
        <v>101.71428571428571</v>
      </c>
      <c r="M10" s="261">
        <f>IFERROR(VLOOKUP(E10,'Carbon Factors'!$B$2:$H$481,5,FALSE),0)</f>
        <v>0</v>
      </c>
      <c r="N10" s="262">
        <f>IFERROR(VLOOKUP((A10&amp;" kWh"),'Carbon Factors'!$B$2:$H$481,5,FALSE),0)</f>
        <v>2.3257E-4</v>
      </c>
      <c r="O10" s="264"/>
      <c r="P10" s="266">
        <f t="shared" si="1"/>
        <v>0</v>
      </c>
      <c r="Q10" s="267">
        <f>IFERROR(VLOOKUP(E10,'Carbon Factors'!$B$2:$K$448,9,FALSE),0)</f>
        <v>0</v>
      </c>
      <c r="R10" s="262">
        <f t="shared" si="2"/>
        <v>0</v>
      </c>
      <c r="S10" s="267" t="str">
        <f>IFERROR(VLOOKUP((A10&amp;" kWh"),'Carbon Factors'!$B$2:$K$448,9,FALSE),0)</f>
        <v>tCO2e</v>
      </c>
      <c r="T10" s="263"/>
      <c r="U10" s="264"/>
      <c r="V10" s="261">
        <f t="shared" si="3"/>
        <v>0</v>
      </c>
      <c r="W10" s="262">
        <f t="shared" si="4"/>
        <v>0</v>
      </c>
      <c r="X10" s="262">
        <f t="shared" si="5"/>
        <v>0</v>
      </c>
      <c r="Y10" s="262">
        <f t="shared" si="6"/>
        <v>0</v>
      </c>
      <c r="Z10" s="258">
        <f t="shared" si="7"/>
        <v>0</v>
      </c>
      <c r="AG10" s="610" t="s">
        <v>402</v>
      </c>
      <c r="AH10" s="610" t="s">
        <v>403</v>
      </c>
      <c r="AI10" s="610" t="s">
        <v>404</v>
      </c>
      <c r="AJ10" s="610" t="s">
        <v>405</v>
      </c>
      <c r="AK10" s="610" t="s">
        <v>406</v>
      </c>
    </row>
    <row r="11" spans="1:40" ht="22" customHeight="1" x14ac:dyDescent="0.35">
      <c r="A11" s="253" t="s">
        <v>407</v>
      </c>
      <c r="B11" s="254"/>
      <c r="C11" s="592"/>
      <c r="D11" s="593"/>
      <c r="E11" s="593"/>
      <c r="F11" s="593"/>
      <c r="G11" s="593"/>
      <c r="H11" s="593"/>
      <c r="I11" s="593"/>
      <c r="J11" s="593"/>
      <c r="K11" s="594"/>
      <c r="L11" s="255"/>
      <c r="M11" s="592"/>
      <c r="N11" s="593"/>
      <c r="O11" s="594"/>
      <c r="P11" s="592"/>
      <c r="Q11" s="593"/>
      <c r="R11" s="593"/>
      <c r="S11" s="593"/>
      <c r="T11" s="593"/>
      <c r="U11" s="594"/>
      <c r="V11" s="606"/>
      <c r="W11" s="607"/>
      <c r="X11" s="607"/>
      <c r="Y11" s="607"/>
      <c r="Z11" s="608"/>
      <c r="AA11" s="590" t="s">
        <v>408</v>
      </c>
      <c r="AB11" s="244" t="s">
        <v>387</v>
      </c>
      <c r="AC11" s="244" t="s">
        <v>388</v>
      </c>
      <c r="AD11" s="244" t="s">
        <v>390</v>
      </c>
      <c r="AE11" s="245" t="s">
        <v>391</v>
      </c>
      <c r="AG11" s="611"/>
      <c r="AH11" s="611"/>
      <c r="AI11" s="611"/>
      <c r="AJ11" s="611"/>
      <c r="AK11" s="611"/>
    </row>
    <row r="12" spans="1:40" ht="22" customHeight="1" x14ac:dyDescent="0.35">
      <c r="A12" s="259" t="s">
        <v>409</v>
      </c>
      <c r="B12" s="260" t="str" cm="1">
        <f t="array" ref="B12">IFERROR(_xlfn.IFS('1. tvēruma emisijas'!C25="Yes","YES",'1. tvēruma emisijas'!C25="Jah","YES", '1. tvēruma emisijas'!C25="Taip","YES",'1. tvēruma emisijas'!C25="Jā","YES"),"NO")</f>
        <v>NO</v>
      </c>
      <c r="C12" s="261">
        <f>IF(B12="YES",'1. tvēruma emisijas'!E25, 0)</f>
        <v>0</v>
      </c>
      <c r="D12" s="262">
        <f>'1. tvēruma emisijas'!F25</f>
        <v>0</v>
      </c>
      <c r="E12" s="262" t="str">
        <f t="shared" si="0"/>
        <v>Biomass - wood logs 0</v>
      </c>
      <c r="F12" s="263"/>
      <c r="G12" s="263"/>
      <c r="H12" s="262">
        <f>IF(B12="YES",'1. tvēruma emisijas'!I25,0)</f>
        <v>0</v>
      </c>
      <c r="I12" s="262" t="str">
        <f>'1. tvēruma emisijas'!J25</f>
        <v>m2</v>
      </c>
      <c r="J12" s="263"/>
      <c r="K12" s="264"/>
      <c r="L12" s="265">
        <f>'Benchmark CIBSE'!$B$9</f>
        <v>101.71428571428571</v>
      </c>
      <c r="M12" s="389">
        <f>IFERROR(VLOOKUP(E12,'Carbon Factors'!$B$2:$H$481,6,FALSE),0)+IFERROR(VLOOKUP(E12,'Carbon Factors'!$B$2:$H$481,7,FALSE),0)</f>
        <v>0</v>
      </c>
      <c r="N12" s="262">
        <f>IFERROR(VLOOKUP((A12&amp;" kWh"),'Carbon Factors'!$B$2:$H$481,6,FALSE),0)+IFERROR(VLOOKUP((A12&amp;" kWh"),'Carbon Factors'!$B$2:$H$481,7,FALSE),0)</f>
        <v>4.3035760000000006E-2</v>
      </c>
      <c r="O12" s="264"/>
      <c r="P12" s="266">
        <f t="shared" si="1"/>
        <v>0</v>
      </c>
      <c r="Q12" s="267">
        <f>IFERROR(VLOOKUP(E12,'Carbon Factors'!$B$2:$K$448,9,FALSE),0)</f>
        <v>0</v>
      </c>
      <c r="R12" s="262">
        <f t="shared" si="2"/>
        <v>0</v>
      </c>
      <c r="S12" s="267" t="str">
        <f>IFERROR(VLOOKUP((A12&amp;" kWh"),'Carbon Factors'!$B$2:$K$448,9,FALSE),0)</f>
        <v>tCO2e</v>
      </c>
      <c r="T12" s="263"/>
      <c r="U12" s="264"/>
      <c r="V12" s="261">
        <f t="shared" si="3"/>
        <v>0</v>
      </c>
      <c r="W12" s="262">
        <f t="shared" si="4"/>
        <v>0</v>
      </c>
      <c r="X12" s="262">
        <f t="shared" si="5"/>
        <v>0</v>
      </c>
      <c r="Y12" s="262">
        <f t="shared" si="6"/>
        <v>0</v>
      </c>
      <c r="Z12" s="258">
        <f t="shared" si="7"/>
        <v>0</v>
      </c>
      <c r="AA12" s="591"/>
      <c r="AB12" s="257">
        <f>SUM(X12:X15)</f>
        <v>0</v>
      </c>
      <c r="AC12" s="257">
        <f>SUM(Y12:Y15)</f>
        <v>0</v>
      </c>
      <c r="AD12" s="257">
        <f>SUM(V12:V15)</f>
        <v>0</v>
      </c>
      <c r="AE12" s="258">
        <f>IFERROR(AB12/AD12,0)</f>
        <v>0</v>
      </c>
      <c r="AG12" s="262">
        <f>IFERROR(VLOOKUP(E12,'Carbon Factors'!$B$2:$H$448,5,FALSE),0)</f>
        <v>0</v>
      </c>
      <c r="AH12" s="262">
        <f>VLOOKUP(A12&amp;" kWh",'Carbon Factors'!$B$2:$F$413,5,FALSE)</f>
        <v>1.132E-5</v>
      </c>
      <c r="AI12" s="257">
        <f>C12</f>
        <v>0</v>
      </c>
      <c r="AJ12" s="257">
        <f>H12*L12</f>
        <v>0</v>
      </c>
      <c r="AK12" s="257">
        <f>AG12*AI12+AH12*AJ12</f>
        <v>0</v>
      </c>
    </row>
    <row r="13" spans="1:40" ht="22" customHeight="1" x14ac:dyDescent="0.35">
      <c r="A13" s="259" t="s">
        <v>410</v>
      </c>
      <c r="B13" s="260" t="str" cm="1">
        <f t="array" ref="B13">IFERROR(_xlfn.IFS('1. tvēruma emisijas'!C26="Yes","YES",'1. tvēruma emisijas'!C26="Jah","YES", '1. tvēruma emisijas'!C26="Taip","YES",'1. tvēruma emisijas'!C26="Jā","YES"),"NO")</f>
        <v>NO</v>
      </c>
      <c r="C13" s="261">
        <f>IF(B13="YES",'1. tvēruma emisijas'!E26, 0)</f>
        <v>0</v>
      </c>
      <c r="D13" s="262">
        <f>'1. tvēruma emisijas'!F26</f>
        <v>0</v>
      </c>
      <c r="E13" s="262" t="str">
        <f t="shared" si="0"/>
        <v>Biomass - wood chips 0</v>
      </c>
      <c r="F13" s="263"/>
      <c r="G13" s="263"/>
      <c r="H13" s="262">
        <f>IF(B13="YES",'1. tvēruma emisijas'!I26,0)</f>
        <v>0</v>
      </c>
      <c r="I13" s="262" t="str">
        <f>'1. tvēruma emisijas'!J26</f>
        <v>m2</v>
      </c>
      <c r="J13" s="263"/>
      <c r="K13" s="264"/>
      <c r="L13" s="265">
        <f>'Benchmark CIBSE'!$B$9</f>
        <v>101.71428571428571</v>
      </c>
      <c r="M13" s="389">
        <f>IFERROR(VLOOKUP(E13,'Carbon Factors'!$B$2:$H$481,6,FALSE),0)+IFERROR(VLOOKUP(E13,'Carbon Factors'!$B$2:$H$481,7,FALSE),0)</f>
        <v>0</v>
      </c>
      <c r="N13" s="262">
        <f>IFERROR(VLOOKUP((A13&amp;" kWh"),'Carbon Factors'!$B$2:$H$481,6,FALSE),0)+IFERROR(VLOOKUP((A13&amp;" kWh"),'Carbon Factors'!$B$2:$H$481,7,FALSE),0)</f>
        <v>5.0554589999999996E-2</v>
      </c>
      <c r="O13" s="264"/>
      <c r="P13" s="266">
        <f t="shared" si="1"/>
        <v>0</v>
      </c>
      <c r="Q13" s="267">
        <f>IFERROR(VLOOKUP(E13,'Carbon Factors'!$B$2:$K$448,9,FALSE),0)</f>
        <v>0</v>
      </c>
      <c r="R13" s="262">
        <f t="shared" si="2"/>
        <v>0</v>
      </c>
      <c r="S13" s="267" t="str">
        <f>IFERROR(VLOOKUP((A13&amp;" kWh"),'Carbon Factors'!$B$2:$K$448,9,FALSE),0)</f>
        <v>tCO2e</v>
      </c>
      <c r="T13" s="263"/>
      <c r="U13" s="264"/>
      <c r="V13" s="261">
        <f t="shared" si="3"/>
        <v>0</v>
      </c>
      <c r="W13" s="262">
        <f t="shared" si="4"/>
        <v>0</v>
      </c>
      <c r="X13" s="262">
        <f t="shared" si="5"/>
        <v>0</v>
      </c>
      <c r="Y13" s="262">
        <f t="shared" si="6"/>
        <v>0</v>
      </c>
      <c r="Z13" s="258">
        <f t="shared" si="7"/>
        <v>0</v>
      </c>
      <c r="AG13" s="262">
        <f>IFERROR(VLOOKUP(E13,'Carbon Factors'!$B$2:$H$448,5,FALSE),0)</f>
        <v>0</v>
      </c>
      <c r="AH13" s="262">
        <f>VLOOKUP(A13&amp;" kWh",'Carbon Factors'!$B$2:$F$413,5,FALSE)</f>
        <v>1.132E-5</v>
      </c>
      <c r="AI13" s="257">
        <f>C13</f>
        <v>0</v>
      </c>
      <c r="AJ13" s="257">
        <f t="shared" ref="AJ13:AJ15" si="8">H13*L13</f>
        <v>0</v>
      </c>
      <c r="AK13" s="257">
        <f t="shared" ref="AK13:AK15" si="9">AG13*AI13+AH13*AJ13</f>
        <v>0</v>
      </c>
    </row>
    <row r="14" spans="1:40" ht="22" customHeight="1" x14ac:dyDescent="0.35">
      <c r="A14" s="259" t="s">
        <v>411</v>
      </c>
      <c r="B14" s="260" t="str" cm="1">
        <f t="array" ref="B14">IFERROR(_xlfn.IFS('1. tvēruma emisijas'!C27="Yes","YES",'1. tvēruma emisijas'!C27="Jah","YES", '1. tvēruma emisijas'!C27="Taip","YES",'1. tvēruma emisijas'!C27="Jā","YES"),"NO")</f>
        <v>NO</v>
      </c>
      <c r="C14" s="261">
        <f>IF(B14="YES",'1. tvēruma emisijas'!E27, 0)</f>
        <v>0</v>
      </c>
      <c r="D14" s="262">
        <f>'1. tvēruma emisijas'!F27</f>
        <v>0</v>
      </c>
      <c r="E14" s="262" t="str">
        <f t="shared" si="0"/>
        <v>Biomass - wood pellets 0</v>
      </c>
      <c r="F14" s="263"/>
      <c r="G14" s="263"/>
      <c r="H14" s="262">
        <f>IF(B14="YES",'1. tvēruma emisijas'!I27,0)</f>
        <v>0</v>
      </c>
      <c r="I14" s="262" t="str">
        <f>'1. tvēruma emisijas'!J27</f>
        <v>m2</v>
      </c>
      <c r="J14" s="263"/>
      <c r="K14" s="264"/>
      <c r="L14" s="265">
        <f>'Benchmark CIBSE'!$B$9</f>
        <v>101.71428571428571</v>
      </c>
      <c r="M14" s="389">
        <f>IFERROR(VLOOKUP(E14,'Carbon Factors'!$B$2:$H$481,6,FALSE),0)+IFERROR(VLOOKUP(E14,'Carbon Factors'!$B$2:$H$481,7,FALSE),0)</f>
        <v>0</v>
      </c>
      <c r="N14" s="262">
        <f>IFERROR(VLOOKUP((A14&amp;" kWh"),'Carbon Factors'!$B$2:$H$481,6,FALSE),0)+IFERROR(VLOOKUP((A14&amp;" kWh"),'Carbon Factors'!$B$2:$H$481,7,FALSE),0)</f>
        <v>5.0554589999999996E-2</v>
      </c>
      <c r="O14" s="264"/>
      <c r="P14" s="266">
        <f t="shared" si="1"/>
        <v>0</v>
      </c>
      <c r="Q14" s="267">
        <f>IFERROR(VLOOKUP(E14,'Carbon Factors'!$B$2:$K$448,9,FALSE),0)</f>
        <v>0</v>
      </c>
      <c r="R14" s="262">
        <f t="shared" si="2"/>
        <v>0</v>
      </c>
      <c r="S14" s="267" t="str">
        <f>IFERROR(VLOOKUP((A14&amp;" kWh"),'Carbon Factors'!$B$2:$K$448,9,FALSE),0)</f>
        <v>tCO2e</v>
      </c>
      <c r="T14" s="263"/>
      <c r="U14" s="264"/>
      <c r="V14" s="261">
        <f t="shared" si="3"/>
        <v>0</v>
      </c>
      <c r="W14" s="262">
        <f t="shared" si="4"/>
        <v>0</v>
      </c>
      <c r="X14" s="262">
        <f t="shared" si="5"/>
        <v>0</v>
      </c>
      <c r="Y14" s="262">
        <f t="shared" si="6"/>
        <v>0</v>
      </c>
      <c r="Z14" s="258">
        <f t="shared" si="7"/>
        <v>0</v>
      </c>
      <c r="AG14" s="262">
        <f>IFERROR(VLOOKUP(E14,'Carbon Factors'!$B$2:$H$448,5,FALSE),0)</f>
        <v>0</v>
      </c>
      <c r="AH14" s="262">
        <f>VLOOKUP(A14&amp;" kWh",'Carbon Factors'!$B$2:$F$413,5,FALSE)</f>
        <v>1.132E-5</v>
      </c>
      <c r="AI14" s="257">
        <f>C14</f>
        <v>0</v>
      </c>
      <c r="AJ14" s="257">
        <f t="shared" si="8"/>
        <v>0</v>
      </c>
      <c r="AK14" s="257">
        <f t="shared" si="9"/>
        <v>0</v>
      </c>
    </row>
    <row r="15" spans="1:40" ht="22" customHeight="1" x14ac:dyDescent="0.35">
      <c r="A15" s="259" t="s">
        <v>412</v>
      </c>
      <c r="B15" s="260" t="str" cm="1">
        <f t="array" ref="B15">IFERROR(_xlfn.IFS('1. tvēruma emisijas'!C28="Yes","YES",'1. tvēruma emisijas'!C28="Jah","YES", '1. tvēruma emisijas'!C28="Taip","YES",'1. tvēruma emisijas'!C28="Jā","YES"),"NO")</f>
        <v>NO</v>
      </c>
      <c r="C15" s="261">
        <f>IF(B15="YES",'1. tvēruma emisijas'!E28, 0)</f>
        <v>0</v>
      </c>
      <c r="D15" s="262">
        <f>'1. tvēruma emisijas'!F28</f>
        <v>0</v>
      </c>
      <c r="E15" s="262" t="str">
        <f t="shared" si="0"/>
        <v>Biomass - grass/straw 0</v>
      </c>
      <c r="F15" s="263"/>
      <c r="G15" s="263"/>
      <c r="H15" s="262">
        <f>IF(B15="YES",'1. tvēruma emisijas'!I28,0)</f>
        <v>0</v>
      </c>
      <c r="I15" s="262" t="str">
        <f>'1. tvēruma emisijas'!J28</f>
        <v>m2</v>
      </c>
      <c r="J15" s="263"/>
      <c r="K15" s="264"/>
      <c r="L15" s="265">
        <f>'Benchmark CIBSE'!$B$9</f>
        <v>101.71428571428571</v>
      </c>
      <c r="M15" s="389">
        <f>IFERROR(VLOOKUP(E15,'Carbon Factors'!$B$2:$H$481,6,FALSE),0)+IFERROR(VLOOKUP(E15,'Carbon Factors'!$B$2:$H$481,7,FALSE),0)</f>
        <v>0</v>
      </c>
      <c r="N15" s="262">
        <f>IFERROR(VLOOKUP((A15&amp;" kWh"),'Carbon Factors'!$B$2:$H$481,6,FALSE),0)+IFERROR(VLOOKUP((A15&amp;" kWh"),'Carbon Factors'!$B$2:$H$481,7,FALSE),0)</f>
        <v>4.8048250000000001E-2</v>
      </c>
      <c r="O15" s="264"/>
      <c r="P15" s="266">
        <f t="shared" si="1"/>
        <v>0</v>
      </c>
      <c r="Q15" s="267">
        <f>IFERROR(VLOOKUP(E15,'Carbon Factors'!$B$2:$K$448,9,FALSE),0)</f>
        <v>0</v>
      </c>
      <c r="R15" s="262">
        <f t="shared" si="2"/>
        <v>0</v>
      </c>
      <c r="S15" s="267" t="str">
        <f>IFERROR(VLOOKUP((A15&amp;" kWh"),'Carbon Factors'!$B$2:$K$448,9,FALSE),0)</f>
        <v>tCO2e</v>
      </c>
      <c r="T15" s="263"/>
      <c r="U15" s="264"/>
      <c r="V15" s="261">
        <f>P15+R15</f>
        <v>0</v>
      </c>
      <c r="W15" s="262">
        <f t="shared" si="4"/>
        <v>0</v>
      </c>
      <c r="X15" s="262">
        <f t="shared" si="5"/>
        <v>0</v>
      </c>
      <c r="Y15" s="262">
        <f t="shared" si="6"/>
        <v>0</v>
      </c>
      <c r="Z15" s="258">
        <f t="shared" si="7"/>
        <v>0</v>
      </c>
      <c r="AG15" s="262">
        <f>IFERROR(VLOOKUP(E15,'Carbon Factors'!$B$2:$H$448,5,FALSE),0)</f>
        <v>0</v>
      </c>
      <c r="AH15" s="262">
        <f>VLOOKUP(A15&amp;" kWh",'Carbon Factors'!$B$2:$F$413,5,FALSE)</f>
        <v>1.4540000000000001E-5</v>
      </c>
      <c r="AI15" s="257">
        <f>C15</f>
        <v>0</v>
      </c>
      <c r="AJ15" s="257">
        <f t="shared" si="8"/>
        <v>0</v>
      </c>
      <c r="AK15" s="257">
        <f t="shared" si="9"/>
        <v>0</v>
      </c>
    </row>
    <row r="16" spans="1:40" ht="22" customHeight="1" x14ac:dyDescent="0.35">
      <c r="A16" s="253" t="s">
        <v>413</v>
      </c>
      <c r="B16" s="254"/>
      <c r="C16" s="592"/>
      <c r="D16" s="593"/>
      <c r="E16" s="593"/>
      <c r="F16" s="593"/>
      <c r="G16" s="593"/>
      <c r="H16" s="593"/>
      <c r="I16" s="593"/>
      <c r="J16" s="593"/>
      <c r="K16" s="594"/>
      <c r="L16" s="255"/>
      <c r="M16" s="592"/>
      <c r="N16" s="593"/>
      <c r="O16" s="594"/>
      <c r="P16" s="592"/>
      <c r="Q16" s="593"/>
      <c r="R16" s="593"/>
      <c r="S16" s="593"/>
      <c r="T16" s="593"/>
      <c r="U16" s="594"/>
      <c r="V16" s="606"/>
      <c r="W16" s="607"/>
      <c r="X16" s="607"/>
      <c r="Y16" s="607"/>
      <c r="Z16" s="608"/>
      <c r="AA16" s="590" t="s">
        <v>413</v>
      </c>
      <c r="AB16" s="244" t="s">
        <v>387</v>
      </c>
      <c r="AC16" s="244" t="s">
        <v>388</v>
      </c>
      <c r="AD16" s="244" t="s">
        <v>390</v>
      </c>
      <c r="AE16" s="245" t="s">
        <v>391</v>
      </c>
    </row>
    <row r="17" spans="1:31" ht="22" customHeight="1" x14ac:dyDescent="0.35">
      <c r="A17" s="259" t="s">
        <v>398</v>
      </c>
      <c r="B17" s="260" t="str" cm="1">
        <f t="array" ref="B17">IFERROR(_xlfn.IFS('1. tvēruma emisijas'!$C$41="Yes","YES",'1. tvēruma emisijas'!$C$41="Jah","YES", '1. tvēruma emisijas'!$C$41="Taip","YES",'1. tvēruma emisijas'!$C$41="Jā","YES"),"NO")</f>
        <v>NO</v>
      </c>
      <c r="C17" s="265">
        <f>IF(B17="YES",'1. tvēruma emisijas'!E41,0)</f>
        <v>0</v>
      </c>
      <c r="D17" s="262">
        <f>'1. tvēruma emisijas'!F41</f>
        <v>0</v>
      </c>
      <c r="E17" s="262" t="str">
        <f>IF(A17="Hybrid cars","Petrol "&amp;D17,A17&amp;" "&amp;D17)</f>
        <v>Diesel 0</v>
      </c>
      <c r="F17" s="262" t="str">
        <f>'1. tvēruma emisijas'!I41&amp;" - "&amp;A17</f>
        <v xml:space="preserve"> - Diesel</v>
      </c>
      <c r="G17" s="262" t="str">
        <f>Informācija!$F$10&amp;" "&amp;Informācija!$F$12</f>
        <v xml:space="preserve"> </v>
      </c>
      <c r="H17" s="262">
        <f>IF(B17="YES",'1. tvēruma emisijas'!J41, 0)</f>
        <v>0</v>
      </c>
      <c r="I17" s="262" t="str">
        <f>'1. tvēruma emisijas'!K41</f>
        <v>km</v>
      </c>
      <c r="J17" s="262">
        <f>IF(B17="YES",'1. tvēruma emisijas'!L41,0)</f>
        <v>0</v>
      </c>
      <c r="K17" s="268" t="str">
        <f>'1. tvēruma emisijas'!M41</f>
        <v>EUR</v>
      </c>
      <c r="L17" s="268">
        <f>IFERROR(VLOOKUP(G17,'Fuel prices'!$B$20:$E$34,3,FALSE),0)</f>
        <v>0</v>
      </c>
      <c r="M17" s="261">
        <f>IFERROR(VLOOKUP(E17,'Carbon Factors'!$B$2:$H$481,5,FALSE),0)</f>
        <v>0</v>
      </c>
      <c r="N17" s="262">
        <f>IFERROR(VLOOKUP(F17,'Carbon Factors'!$B$2:$H$481,5,FALSE),0)</f>
        <v>0</v>
      </c>
      <c r="O17" s="268">
        <f>IFERROR(VLOOKUP("Diesel L",'Carbon Factors'!$B$2:$H$481,5,FALSE),0)</f>
        <v>2.51279E-3</v>
      </c>
      <c r="P17" s="261">
        <f>C17*M17</f>
        <v>0</v>
      </c>
      <c r="Q17" s="262">
        <f>IFERROR(VLOOKUP(E17,'Carbon Factors'!$B$2:$K$448,9,FALSE),0)</f>
        <v>0</v>
      </c>
      <c r="R17" s="262">
        <f>N17*H17</f>
        <v>0</v>
      </c>
      <c r="S17" s="262">
        <f>IFERROR(VLOOKUP((A17),'Carbon Factors'!$B$2:$K$448,9,FALSE),0)</f>
        <v>0</v>
      </c>
      <c r="T17" s="262">
        <f>L17*J17*O17</f>
        <v>0</v>
      </c>
      <c r="U17" s="269">
        <f>Q17</f>
        <v>0</v>
      </c>
      <c r="V17" s="261">
        <f>P17+R17+T17</f>
        <v>0</v>
      </c>
      <c r="W17" s="262">
        <f t="shared" si="4"/>
        <v>0</v>
      </c>
      <c r="X17" s="262">
        <f t="shared" si="5"/>
        <v>0</v>
      </c>
      <c r="Y17" s="262">
        <f>R17+T17</f>
        <v>0</v>
      </c>
      <c r="Z17" s="258">
        <f t="shared" ref="Z17:Z32" si="10">IFERROR(P17/V17,0)</f>
        <v>0</v>
      </c>
      <c r="AA17" s="591"/>
      <c r="AB17" s="257">
        <f>SUM(X17:X32)</f>
        <v>0</v>
      </c>
      <c r="AC17" s="257">
        <f>SUM(Y17:Y32)</f>
        <v>0</v>
      </c>
      <c r="AD17" s="257">
        <f>SUM(V17:V32)</f>
        <v>0</v>
      </c>
      <c r="AE17" s="258">
        <f>IFERROR(AB17/AD17,0)</f>
        <v>0</v>
      </c>
    </row>
    <row r="18" spans="1:31" ht="22" customHeight="1" x14ac:dyDescent="0.35">
      <c r="A18" s="259" t="s">
        <v>398</v>
      </c>
      <c r="B18" s="260" t="str" cm="1">
        <f t="array" ref="B18">IFERROR(_xlfn.IFS('1. tvēruma emisijas'!$C$41="Yes","YES",'1. tvēruma emisijas'!$C$41="Jah","YES", '1. tvēruma emisijas'!$C$41="Taip","YES",'1. tvēruma emisijas'!$C$41="Jā","YES"),"NO")</f>
        <v>NO</v>
      </c>
      <c r="C18" s="265">
        <f>IF(B18="YES",'1. tvēruma emisijas'!E42,0)</f>
        <v>0</v>
      </c>
      <c r="D18" s="262">
        <f>'1. tvēruma emisijas'!F42</f>
        <v>0</v>
      </c>
      <c r="E18" s="262" t="str">
        <f t="shared" ref="E18:E32" si="11">IF(A18="Hybrid cars","Petrol "&amp;D18,A18&amp;" "&amp;D18)</f>
        <v>Diesel 0</v>
      </c>
      <c r="F18" s="262" t="str">
        <f>'1. tvēruma emisijas'!I42&amp;" - "&amp;A18</f>
        <v xml:space="preserve"> - Diesel</v>
      </c>
      <c r="G18" s="262" t="str">
        <f>Informācija!$F$10&amp;" "&amp;Informācija!$F$12</f>
        <v xml:space="preserve"> </v>
      </c>
      <c r="H18" s="262">
        <f>IF(B18="YES",'1. tvēruma emisijas'!J42, 0)</f>
        <v>0</v>
      </c>
      <c r="I18" s="262" t="str">
        <f>'1. tvēruma emisijas'!K42</f>
        <v>km</v>
      </c>
      <c r="J18" s="262">
        <f>IF(B18="YES",'1. tvēruma emisijas'!L42,0)</f>
        <v>0</v>
      </c>
      <c r="K18" s="268" t="str">
        <f>'1. tvēruma emisijas'!M42</f>
        <v>EUR</v>
      </c>
      <c r="L18" s="268">
        <f>IFERROR(VLOOKUP(G18,'Fuel prices'!$B$20:$E$34,3,FALSE),0)</f>
        <v>0</v>
      </c>
      <c r="M18" s="261">
        <f>IFERROR(VLOOKUP(E18,'Carbon Factors'!$B$2:$H$481,5,FALSE),0)</f>
        <v>0</v>
      </c>
      <c r="N18" s="262">
        <f>IFERROR(VLOOKUP(F18,'Carbon Factors'!$B$2:$H$481,5,FALSE),0)</f>
        <v>0</v>
      </c>
      <c r="O18" s="268">
        <f>IFERROR(VLOOKUP("Diesel L",'Carbon Factors'!$B$2:$H$481,5,FALSE),0)</f>
        <v>2.51279E-3</v>
      </c>
      <c r="P18" s="261">
        <f t="shared" ref="P18:P31" si="12">C18*M18</f>
        <v>0</v>
      </c>
      <c r="Q18" s="262">
        <f>IFERROR(VLOOKUP(E18,'Carbon Factors'!$B$2:$K$448,9,FALSE),0)</f>
        <v>0</v>
      </c>
      <c r="R18" s="262">
        <f t="shared" ref="R18:R31" si="13">N18*H18</f>
        <v>0</v>
      </c>
      <c r="S18" s="262">
        <f>IFERROR(VLOOKUP((A18),'Carbon Factors'!$B$2:$K$448,9,FALSE),0)</f>
        <v>0</v>
      </c>
      <c r="T18" s="262">
        <f t="shared" ref="T18:T28" si="14">L18*J18*O18</f>
        <v>0</v>
      </c>
      <c r="U18" s="269">
        <f t="shared" ref="U18:U28" si="15">Q18</f>
        <v>0</v>
      </c>
      <c r="V18" s="261">
        <f t="shared" ref="V18:V31" si="16">P18+R18+T18</f>
        <v>0</v>
      </c>
      <c r="W18" s="262">
        <f t="shared" si="4"/>
        <v>0</v>
      </c>
      <c r="X18" s="262">
        <f t="shared" ref="X18:X31" si="17">P18</f>
        <v>0</v>
      </c>
      <c r="Y18" s="262">
        <f t="shared" ref="Y18:Y31" si="18">R18+T18</f>
        <v>0</v>
      </c>
      <c r="Z18" s="258">
        <f t="shared" si="10"/>
        <v>0</v>
      </c>
    </row>
    <row r="19" spans="1:31" ht="22" customHeight="1" x14ac:dyDescent="0.35">
      <c r="A19" s="259" t="s">
        <v>398</v>
      </c>
      <c r="B19" s="260" t="str" cm="1">
        <f t="array" ref="B19">IFERROR(_xlfn.IFS('1. tvēruma emisijas'!$C$41="Yes","YES",'1. tvēruma emisijas'!$C$41="Jah","YES", '1. tvēruma emisijas'!$C$41="Taip","YES",'1. tvēruma emisijas'!$C$41="Jā","YES"),"NO")</f>
        <v>NO</v>
      </c>
      <c r="C19" s="265">
        <f>IF(B19="YES",'1. tvēruma emisijas'!E43,0)</f>
        <v>0</v>
      </c>
      <c r="D19" s="262">
        <f>'1. tvēruma emisijas'!F43</f>
        <v>0</v>
      </c>
      <c r="E19" s="262" t="str">
        <f t="shared" si="11"/>
        <v>Diesel 0</v>
      </c>
      <c r="F19" s="262" t="str">
        <f>'1. tvēruma emisijas'!I43&amp;" - "&amp;A19</f>
        <v xml:space="preserve"> - Diesel</v>
      </c>
      <c r="G19" s="262" t="str">
        <f>Informācija!$F$10&amp;" "&amp;Informācija!$F$12</f>
        <v xml:space="preserve"> </v>
      </c>
      <c r="H19" s="262">
        <f>IF(B19="YES",'1. tvēruma emisijas'!J43, 0)</f>
        <v>0</v>
      </c>
      <c r="I19" s="262" t="str">
        <f>'1. tvēruma emisijas'!K43</f>
        <v>km</v>
      </c>
      <c r="J19" s="262">
        <f>IF(B19="YES",'1. tvēruma emisijas'!L43,0)</f>
        <v>0</v>
      </c>
      <c r="K19" s="268" t="str">
        <f>'1. tvēruma emisijas'!M43</f>
        <v>EUR</v>
      </c>
      <c r="L19" s="268">
        <f>IFERROR(VLOOKUP(G19,'Fuel prices'!$B$20:$E$34,3,FALSE),0)</f>
        <v>0</v>
      </c>
      <c r="M19" s="261">
        <f>IFERROR(VLOOKUP(E19,'Carbon Factors'!$B$2:$H$481,5,FALSE),0)</f>
        <v>0</v>
      </c>
      <c r="N19" s="262">
        <f>IFERROR(VLOOKUP(F19,'Carbon Factors'!$B$2:$H$481,5,FALSE),0)</f>
        <v>0</v>
      </c>
      <c r="O19" s="268">
        <f>IFERROR(VLOOKUP("Diesel L",'Carbon Factors'!$B$2:$H$481,5,FALSE),0)</f>
        <v>2.51279E-3</v>
      </c>
      <c r="P19" s="261">
        <f t="shared" si="12"/>
        <v>0</v>
      </c>
      <c r="Q19" s="262">
        <f>IFERROR(VLOOKUP(E19,'Carbon Factors'!$B$2:$K$448,9,FALSE),0)</f>
        <v>0</v>
      </c>
      <c r="R19" s="262">
        <f t="shared" si="13"/>
        <v>0</v>
      </c>
      <c r="S19" s="262">
        <f>IFERROR(VLOOKUP((A19),'Carbon Factors'!$B$2:$K$448,9,FALSE),0)</f>
        <v>0</v>
      </c>
      <c r="T19" s="262">
        <f t="shared" si="14"/>
        <v>0</v>
      </c>
      <c r="U19" s="269">
        <f t="shared" si="15"/>
        <v>0</v>
      </c>
      <c r="V19" s="261">
        <f>P19+R19+T19</f>
        <v>0</v>
      </c>
      <c r="W19" s="262">
        <f t="shared" si="4"/>
        <v>0</v>
      </c>
      <c r="X19" s="262">
        <f t="shared" si="17"/>
        <v>0</v>
      </c>
      <c r="Y19" s="262">
        <f t="shared" si="18"/>
        <v>0</v>
      </c>
      <c r="Z19" s="258">
        <f t="shared" si="10"/>
        <v>0</v>
      </c>
    </row>
    <row r="20" spans="1:31" ht="22" customHeight="1" x14ac:dyDescent="0.35">
      <c r="A20" s="259" t="s">
        <v>414</v>
      </c>
      <c r="B20" s="260" t="str" cm="1">
        <f t="array" ref="B20">IFERROR(_xlfn.IFS('1. tvēruma emisijas'!$C$44="Yes","YES",'1. tvēruma emisijas'!$C$44="Jah","YES", '1. tvēruma emisijas'!$C$44="Taip","YES",'1. tvēruma emisijas'!$C$44="Jā","YES"),"NO")</f>
        <v>NO</v>
      </c>
      <c r="C20" s="265">
        <f>IF(B20="YES",'1. tvēruma emisijas'!E44,0)</f>
        <v>0</v>
      </c>
      <c r="D20" s="262">
        <f>'1. tvēruma emisijas'!F44</f>
        <v>0</v>
      </c>
      <c r="E20" s="262" t="str">
        <f t="shared" si="11"/>
        <v>Petrol 0</v>
      </c>
      <c r="F20" s="262" t="str">
        <f>'1. tvēruma emisijas'!I44&amp;" - "&amp;A20</f>
        <v xml:space="preserve"> - Petrol</v>
      </c>
      <c r="G20" s="262" t="str">
        <f>Informācija!$F$10&amp;" "&amp;Informācija!$F$12</f>
        <v xml:space="preserve"> </v>
      </c>
      <c r="H20" s="262">
        <f>IF(B20="YES",'1. tvēruma emisijas'!J44, 0)</f>
        <v>0</v>
      </c>
      <c r="I20" s="262" t="str">
        <f>'1. tvēruma emisijas'!K44</f>
        <v>km</v>
      </c>
      <c r="J20" s="262">
        <f>IF(B20="YES",'1. tvēruma emisijas'!L44,0)</f>
        <v>0</v>
      </c>
      <c r="K20" s="268" t="str">
        <f>'1. tvēruma emisijas'!M44</f>
        <v>EUR</v>
      </c>
      <c r="L20" s="268">
        <f>IFERROR(VLOOKUP(G20,'Fuel prices'!$B$20:$E$34,2,FALSE),0)</f>
        <v>0</v>
      </c>
      <c r="M20" s="261">
        <f>IFERROR(VLOOKUP(E20,'Carbon Factors'!$B$2:$H$481,5,FALSE),0)</f>
        <v>0</v>
      </c>
      <c r="N20" s="262">
        <f>IFERROR(VLOOKUP(F20,'Carbon Factors'!$B$2:$H$481,5,FALSE),0)</f>
        <v>0</v>
      </c>
      <c r="O20" s="268">
        <f>IFERROR(VLOOKUP("Petrol L",'Carbon Factors'!$B$2:$H$481,5,FALSE),0)</f>
        <v>2.0844000000000001E-3</v>
      </c>
      <c r="P20" s="261">
        <f t="shared" si="12"/>
        <v>0</v>
      </c>
      <c r="Q20" s="262">
        <f>IFERROR(VLOOKUP(E20,'Carbon Factors'!$B$2:$K$448,9,FALSE),0)</f>
        <v>0</v>
      </c>
      <c r="R20" s="262">
        <f t="shared" si="13"/>
        <v>0</v>
      </c>
      <c r="S20" s="262">
        <f>IFERROR(VLOOKUP((A20),'Carbon Factors'!$B$2:$K$448,9,FALSE),0)</f>
        <v>0</v>
      </c>
      <c r="T20" s="262">
        <f t="shared" si="14"/>
        <v>0</v>
      </c>
      <c r="U20" s="269">
        <f t="shared" si="15"/>
        <v>0</v>
      </c>
      <c r="V20" s="261">
        <f t="shared" si="16"/>
        <v>0</v>
      </c>
      <c r="W20" s="262">
        <f t="shared" si="4"/>
        <v>0</v>
      </c>
      <c r="X20" s="262">
        <f t="shared" si="17"/>
        <v>0</v>
      </c>
      <c r="Y20" s="262">
        <f t="shared" si="18"/>
        <v>0</v>
      </c>
      <c r="Z20" s="258">
        <f t="shared" si="10"/>
        <v>0</v>
      </c>
    </row>
    <row r="21" spans="1:31" ht="22" customHeight="1" x14ac:dyDescent="0.35">
      <c r="A21" s="259" t="s">
        <v>414</v>
      </c>
      <c r="B21" s="260" t="str" cm="1">
        <f t="array" ref="B21">IFERROR(_xlfn.IFS('1. tvēruma emisijas'!$C$44="Yes","YES",'1. tvēruma emisijas'!$C$44="Jah","YES", '1. tvēruma emisijas'!$C$44="Taip","YES",'1. tvēruma emisijas'!$C$44="Jā","YES"),"NO")</f>
        <v>NO</v>
      </c>
      <c r="C21" s="265">
        <f>IF(B21="YES",'1. tvēruma emisijas'!E45,0)</f>
        <v>0</v>
      </c>
      <c r="D21" s="262">
        <f>'1. tvēruma emisijas'!F45</f>
        <v>0</v>
      </c>
      <c r="E21" s="262" t="str">
        <f t="shared" si="11"/>
        <v>Petrol 0</v>
      </c>
      <c r="F21" s="262" t="str">
        <f>'1. tvēruma emisijas'!I45&amp;" - "&amp;A21</f>
        <v xml:space="preserve"> - Petrol</v>
      </c>
      <c r="G21" s="262" t="str">
        <f>Informācija!$F$10&amp;" "&amp;Informācija!$F$12</f>
        <v xml:space="preserve"> </v>
      </c>
      <c r="H21" s="262">
        <f>IF(B21="YES",'1. tvēruma emisijas'!J45, 0)</f>
        <v>0</v>
      </c>
      <c r="I21" s="262" t="str">
        <f>'1. tvēruma emisijas'!K45</f>
        <v>km</v>
      </c>
      <c r="J21" s="262">
        <f>IF(B21="YES",'1. tvēruma emisijas'!L45,0)</f>
        <v>0</v>
      </c>
      <c r="K21" s="268" t="str">
        <f>'1. tvēruma emisijas'!M45</f>
        <v>EUR</v>
      </c>
      <c r="L21" s="269">
        <f>IFERROR(VLOOKUP(G21,'Fuel prices'!$B$20:$E$34,2,FALSE),0)</f>
        <v>0</v>
      </c>
      <c r="M21" s="261">
        <f>IFERROR(VLOOKUP(E21,'Carbon Factors'!$B$2:$H$481,5,FALSE),0)</f>
        <v>0</v>
      </c>
      <c r="N21" s="262">
        <f>IFERROR(VLOOKUP(F21,'Carbon Factors'!$B$2:$H$481,5,FALSE),0)</f>
        <v>0</v>
      </c>
      <c r="O21" s="268">
        <f>IFERROR(VLOOKUP("Petrol L",'Carbon Factors'!$B$2:$H$481,5,FALSE),0)</f>
        <v>2.0844000000000001E-3</v>
      </c>
      <c r="P21" s="261">
        <f t="shared" si="12"/>
        <v>0</v>
      </c>
      <c r="Q21" s="262">
        <f>IFERROR(VLOOKUP(E21,'Carbon Factors'!$B$2:$K$448,9,FALSE),0)</f>
        <v>0</v>
      </c>
      <c r="R21" s="262">
        <f t="shared" si="13"/>
        <v>0</v>
      </c>
      <c r="S21" s="262">
        <f>IFERROR(VLOOKUP((A21),'Carbon Factors'!$B$2:$K$448,9,FALSE),0)</f>
        <v>0</v>
      </c>
      <c r="T21" s="262">
        <f t="shared" si="14"/>
        <v>0</v>
      </c>
      <c r="U21" s="269">
        <f t="shared" si="15"/>
        <v>0</v>
      </c>
      <c r="V21" s="261">
        <f t="shared" si="16"/>
        <v>0</v>
      </c>
      <c r="W21" s="262">
        <f t="shared" si="4"/>
        <v>0</v>
      </c>
      <c r="X21" s="262">
        <f t="shared" si="17"/>
        <v>0</v>
      </c>
      <c r="Y21" s="262">
        <f t="shared" si="18"/>
        <v>0</v>
      </c>
      <c r="Z21" s="258">
        <f t="shared" si="10"/>
        <v>0</v>
      </c>
    </row>
    <row r="22" spans="1:31" ht="22" customHeight="1" x14ac:dyDescent="0.35">
      <c r="A22" s="259" t="s">
        <v>414</v>
      </c>
      <c r="B22" s="260" t="str" cm="1">
        <f t="array" ref="B22">IFERROR(_xlfn.IFS('1. tvēruma emisijas'!$C$44="Yes","YES",'1. tvēruma emisijas'!$C$44="Jah","YES", '1. tvēruma emisijas'!$C$44="Taip","YES",'1. tvēruma emisijas'!$C$44="Jā","YES"),"NO")</f>
        <v>NO</v>
      </c>
      <c r="C22" s="265">
        <f>IF(B22="YES",'1. tvēruma emisijas'!E46,0)</f>
        <v>0</v>
      </c>
      <c r="D22" s="262">
        <f>'1. tvēruma emisijas'!F46</f>
        <v>0</v>
      </c>
      <c r="E22" s="262" t="str">
        <f t="shared" si="11"/>
        <v>Petrol 0</v>
      </c>
      <c r="F22" s="262" t="str">
        <f>'1. tvēruma emisijas'!I46&amp;" - "&amp;A22</f>
        <v xml:space="preserve"> - Petrol</v>
      </c>
      <c r="G22" s="262" t="str">
        <f>Informācija!$F$10&amp;" "&amp;Informācija!$F$12</f>
        <v xml:space="preserve"> </v>
      </c>
      <c r="H22" s="262">
        <f>IF(B22="YES",'1. tvēruma emisijas'!J46, 0)</f>
        <v>0</v>
      </c>
      <c r="I22" s="262" t="str">
        <f>'1. tvēruma emisijas'!K46</f>
        <v>km</v>
      </c>
      <c r="J22" s="262">
        <f>IF(B22="YES",'1. tvēruma emisijas'!L46,0)</f>
        <v>0</v>
      </c>
      <c r="K22" s="268" t="str">
        <f>'1. tvēruma emisijas'!M46</f>
        <v>EUR</v>
      </c>
      <c r="L22" s="269">
        <f>IFERROR(VLOOKUP(G22,'Fuel prices'!$B$20:$E$34,2,FALSE),0)</f>
        <v>0</v>
      </c>
      <c r="M22" s="261">
        <f>IFERROR(VLOOKUP(E22,'Carbon Factors'!$B$2:$H$481,5,FALSE),0)</f>
        <v>0</v>
      </c>
      <c r="N22" s="262">
        <f>IFERROR(VLOOKUP(F22,'Carbon Factors'!$B$2:$H$481,5,FALSE),0)</f>
        <v>0</v>
      </c>
      <c r="O22" s="268">
        <f>IFERROR(VLOOKUP("Petrol L",'Carbon Factors'!$B$2:$H$481,5,FALSE),0)</f>
        <v>2.0844000000000001E-3</v>
      </c>
      <c r="P22" s="261">
        <f t="shared" si="12"/>
        <v>0</v>
      </c>
      <c r="Q22" s="262">
        <f>IFERROR(VLOOKUP(E22,'Carbon Factors'!$B$2:$K$448,9,FALSE),0)</f>
        <v>0</v>
      </c>
      <c r="R22" s="262">
        <f t="shared" si="13"/>
        <v>0</v>
      </c>
      <c r="S22" s="262">
        <f>IFERROR(VLOOKUP((A22),'Carbon Factors'!$B$2:$K$448,9,FALSE),0)</f>
        <v>0</v>
      </c>
      <c r="T22" s="262">
        <f t="shared" si="14"/>
        <v>0</v>
      </c>
      <c r="U22" s="269">
        <f t="shared" si="15"/>
        <v>0</v>
      </c>
      <c r="V22" s="261">
        <f t="shared" si="16"/>
        <v>0</v>
      </c>
      <c r="W22" s="262">
        <f t="shared" si="4"/>
        <v>0</v>
      </c>
      <c r="X22" s="262">
        <f t="shared" si="17"/>
        <v>0</v>
      </c>
      <c r="Y22" s="262">
        <f t="shared" si="18"/>
        <v>0</v>
      </c>
      <c r="Z22" s="258">
        <f t="shared" si="10"/>
        <v>0</v>
      </c>
    </row>
    <row r="23" spans="1:31" ht="22" customHeight="1" x14ac:dyDescent="0.35">
      <c r="A23" s="259" t="s">
        <v>119</v>
      </c>
      <c r="B23" s="260" t="str" cm="1">
        <f t="array" ref="B23">IFERROR(_xlfn.IFS('1. tvēruma emisijas'!$C$47="Yes","YES",'1. tvēruma emisijas'!$C$47="Jah","YES", '1. tvēruma emisijas'!$C$47="Taip","YES",'1. tvēruma emisijas'!$C$47="Jā","YES"),"NO")</f>
        <v>NO</v>
      </c>
      <c r="C23" s="265">
        <f>IF(B23="YES",'1. tvēruma emisijas'!E47,0)</f>
        <v>0</v>
      </c>
      <c r="D23" s="262">
        <f>'1. tvēruma emisijas'!F47</f>
        <v>0</v>
      </c>
      <c r="E23" s="262" t="str">
        <f t="shared" si="11"/>
        <v>LNG 0</v>
      </c>
      <c r="F23" s="263"/>
      <c r="G23" s="263"/>
      <c r="H23" s="263"/>
      <c r="I23" s="263"/>
      <c r="J23" s="263"/>
      <c r="K23" s="317"/>
      <c r="L23" s="318"/>
      <c r="M23" s="261">
        <f>IFERROR(VLOOKUP(E23,'Carbon Factors'!$B$2:$H$481,5,FALSE),0)</f>
        <v>0</v>
      </c>
      <c r="N23" s="263"/>
      <c r="O23" s="263"/>
      <c r="P23" s="261">
        <f t="shared" si="12"/>
        <v>0</v>
      </c>
      <c r="Q23" s="262">
        <f>IFERROR(VLOOKUP(E23,'Carbon Factors'!$B$2:$K$448,9,FALSE),0)</f>
        <v>0</v>
      </c>
      <c r="R23" s="263"/>
      <c r="S23" s="263"/>
      <c r="T23" s="263"/>
      <c r="U23" s="263"/>
      <c r="V23" s="261">
        <f t="shared" si="16"/>
        <v>0</v>
      </c>
      <c r="W23" s="262">
        <f t="shared" si="4"/>
        <v>0</v>
      </c>
      <c r="X23" s="262">
        <f t="shared" si="17"/>
        <v>0</v>
      </c>
      <c r="Y23" s="262">
        <f t="shared" si="18"/>
        <v>0</v>
      </c>
      <c r="Z23" s="258">
        <f t="shared" si="10"/>
        <v>0</v>
      </c>
    </row>
    <row r="24" spans="1:31" ht="22" customHeight="1" x14ac:dyDescent="0.35">
      <c r="A24" s="259" t="s">
        <v>119</v>
      </c>
      <c r="B24" s="260" t="str" cm="1">
        <f t="array" ref="B24">IFERROR(_xlfn.IFS('1. tvēruma emisijas'!$C$47="Yes","YES",'1. tvēruma emisijas'!$C$47="Jah","YES", '1. tvēruma emisijas'!$C$47="Taip","YES",'1. tvēruma emisijas'!$C$47="Jā","YES"),"NO")</f>
        <v>NO</v>
      </c>
      <c r="C24" s="265">
        <f>IF(B24="YES",'1. tvēruma emisijas'!E48,0)</f>
        <v>0</v>
      </c>
      <c r="D24" s="262">
        <f>'1. tvēruma emisijas'!F48</f>
        <v>0</v>
      </c>
      <c r="E24" s="262" t="str">
        <f t="shared" si="11"/>
        <v>LNG 0</v>
      </c>
      <c r="F24" s="263"/>
      <c r="G24" s="263"/>
      <c r="H24" s="263"/>
      <c r="I24" s="263"/>
      <c r="J24" s="263"/>
      <c r="K24" s="317"/>
      <c r="L24" s="318"/>
      <c r="M24" s="261">
        <f>IFERROR(VLOOKUP(E24,'Carbon Factors'!$B$2:$H$481,5,FALSE),0)</f>
        <v>0</v>
      </c>
      <c r="N24" s="263"/>
      <c r="O24" s="263"/>
      <c r="P24" s="261">
        <f t="shared" si="12"/>
        <v>0</v>
      </c>
      <c r="Q24" s="262">
        <f>IFERROR(VLOOKUP(E24,'Carbon Factors'!$B$2:$K$448,9,FALSE),0)</f>
        <v>0</v>
      </c>
      <c r="R24" s="263"/>
      <c r="S24" s="263"/>
      <c r="T24" s="263"/>
      <c r="U24" s="263"/>
      <c r="V24" s="261">
        <f t="shared" si="16"/>
        <v>0</v>
      </c>
      <c r="W24" s="262">
        <f t="shared" si="4"/>
        <v>0</v>
      </c>
      <c r="X24" s="262">
        <f t="shared" si="17"/>
        <v>0</v>
      </c>
      <c r="Y24" s="262">
        <f t="shared" si="18"/>
        <v>0</v>
      </c>
      <c r="Z24" s="258">
        <f t="shared" si="10"/>
        <v>0</v>
      </c>
    </row>
    <row r="25" spans="1:31" ht="22" customHeight="1" x14ac:dyDescent="0.35">
      <c r="A25" s="259" t="s">
        <v>119</v>
      </c>
      <c r="B25" s="260" t="str" cm="1">
        <f t="array" ref="B25">IFERROR(_xlfn.IFS('1. tvēruma emisijas'!$C$47="Yes","YES",'1. tvēruma emisijas'!$C$47="Jah","YES", '1. tvēruma emisijas'!$C$47="Taip","YES",'1. tvēruma emisijas'!$C$47="Jā","YES"),"NO")</f>
        <v>NO</v>
      </c>
      <c r="C25" s="265">
        <f>IF(B25="YES",'1. tvēruma emisijas'!E49,0)</f>
        <v>0</v>
      </c>
      <c r="D25" s="262">
        <f>'1. tvēruma emisijas'!F49</f>
        <v>0</v>
      </c>
      <c r="E25" s="262" t="str">
        <f t="shared" si="11"/>
        <v>LNG 0</v>
      </c>
      <c r="F25" s="263"/>
      <c r="G25" s="263"/>
      <c r="H25" s="263"/>
      <c r="I25" s="263"/>
      <c r="J25" s="263"/>
      <c r="K25" s="317"/>
      <c r="L25" s="318"/>
      <c r="M25" s="261">
        <f>IFERROR(VLOOKUP(E25,'Carbon Factors'!$B$2:$H$481,5,FALSE),0)</f>
        <v>0</v>
      </c>
      <c r="N25" s="263"/>
      <c r="O25" s="263"/>
      <c r="P25" s="261">
        <f t="shared" si="12"/>
        <v>0</v>
      </c>
      <c r="Q25" s="262">
        <f>IFERROR(VLOOKUP(E25,'Carbon Factors'!$B$2:$K$448,9,FALSE),0)</f>
        <v>0</v>
      </c>
      <c r="R25" s="263"/>
      <c r="S25" s="263"/>
      <c r="T25" s="263"/>
      <c r="U25" s="263"/>
      <c r="V25" s="261">
        <f t="shared" si="16"/>
        <v>0</v>
      </c>
      <c r="W25" s="262">
        <f t="shared" si="4"/>
        <v>0</v>
      </c>
      <c r="X25" s="262">
        <f t="shared" si="17"/>
        <v>0</v>
      </c>
      <c r="Y25" s="262">
        <f t="shared" si="18"/>
        <v>0</v>
      </c>
      <c r="Z25" s="258">
        <f t="shared" si="10"/>
        <v>0</v>
      </c>
    </row>
    <row r="26" spans="1:31" ht="22" customHeight="1" x14ac:dyDescent="0.35">
      <c r="A26" s="259" t="s">
        <v>96</v>
      </c>
      <c r="B26" s="260" t="str" cm="1">
        <f t="array" ref="B26">IFERROR(_xlfn.IFS('1. tvēruma emisijas'!$C$50="Yes","YES",'1. tvēruma emisijas'!$C$50="Jah","YES", '1. tvēruma emisijas'!$C$50="Taip","YES",'1. tvēruma emisijas'!$C$50="Jā","YES"),"NO")</f>
        <v>NO</v>
      </c>
      <c r="C26" s="265">
        <f>IF(B26="YES",'1. tvēruma emisijas'!E50,0)</f>
        <v>0</v>
      </c>
      <c r="D26" s="262">
        <f>'1. tvēruma emisijas'!F50</f>
        <v>0</v>
      </c>
      <c r="E26" s="262" t="str">
        <f t="shared" si="11"/>
        <v>LPG 0</v>
      </c>
      <c r="F26" s="262" t="str">
        <f>'1. tvēruma emisijas'!I50&amp;" - "&amp;A26</f>
        <v xml:space="preserve"> - LPG</v>
      </c>
      <c r="G26" s="262" t="str">
        <f>Informācija!$F$10&amp;" "&amp;Informācija!$F$12</f>
        <v xml:space="preserve"> </v>
      </c>
      <c r="H26" s="262">
        <f>IF(B26="YES", '1. tvēruma emisijas'!J50, 0)</f>
        <v>0</v>
      </c>
      <c r="I26" s="262" t="str">
        <f>'1. tvēruma emisijas'!K50</f>
        <v>km</v>
      </c>
      <c r="J26" s="262">
        <f>IF(B26="YES",'1. tvēruma emisijas'!L50,0)</f>
        <v>0</v>
      </c>
      <c r="K26" s="269" t="str">
        <f>'1. tvēruma emisijas'!M50</f>
        <v>EUR</v>
      </c>
      <c r="L26" s="319">
        <f>IFERROR(VLOOKUP(G26,'Fuel prices'!$B$20:$E$34,4,FALSE),0)</f>
        <v>0</v>
      </c>
      <c r="M26" s="261">
        <f>IFERROR(VLOOKUP(E26,'Carbon Factors'!$B$2:$H$481,5,FALSE),0)</f>
        <v>0</v>
      </c>
      <c r="N26" s="262">
        <f>IFERROR(VLOOKUP(F26,'Carbon Factors'!$B$2:$H$481,5,FALSE),0)</f>
        <v>0</v>
      </c>
      <c r="O26" s="268">
        <f>IFERROR(VLOOKUP("LPG L",'Carbon Factors'!$B$2:$H$481,5,FALSE),0)</f>
        <v>1.5571300000000001E-3</v>
      </c>
      <c r="P26" s="261">
        <f t="shared" si="12"/>
        <v>0</v>
      </c>
      <c r="Q26" s="262">
        <f>IFERROR(VLOOKUP(E26,'Carbon Factors'!$B$2:$K$448,9,FALSE),0)</f>
        <v>0</v>
      </c>
      <c r="R26" s="262">
        <f t="shared" si="13"/>
        <v>0</v>
      </c>
      <c r="S26" s="262">
        <f>IFERROR(VLOOKUP((A26),'Carbon Factors'!$B$2:$K$448,9,FALSE),0)</f>
        <v>0</v>
      </c>
      <c r="T26" s="262">
        <f t="shared" si="14"/>
        <v>0</v>
      </c>
      <c r="U26" s="269">
        <f t="shared" si="15"/>
        <v>0</v>
      </c>
      <c r="V26" s="261">
        <f t="shared" si="16"/>
        <v>0</v>
      </c>
      <c r="W26" s="262">
        <f t="shared" si="4"/>
        <v>0</v>
      </c>
      <c r="X26" s="262">
        <f t="shared" si="17"/>
        <v>0</v>
      </c>
      <c r="Y26" s="262">
        <f t="shared" si="18"/>
        <v>0</v>
      </c>
      <c r="Z26" s="258">
        <f t="shared" si="10"/>
        <v>0</v>
      </c>
    </row>
    <row r="27" spans="1:31" ht="22" customHeight="1" x14ac:dyDescent="0.35">
      <c r="A27" s="259" t="s">
        <v>96</v>
      </c>
      <c r="B27" s="260" t="str" cm="1">
        <f t="array" ref="B27">IFERROR(_xlfn.IFS('1. tvēruma emisijas'!$C$50="Yes","YES",'1. tvēruma emisijas'!$C$50="Jah","YES", '1. tvēruma emisijas'!$C$50="Taip","YES",'1. tvēruma emisijas'!$C$50="Jā","YES"),"NO")</f>
        <v>NO</v>
      </c>
      <c r="C27" s="265">
        <f>IF(B27="YES",'1. tvēruma emisijas'!E51,0)</f>
        <v>0</v>
      </c>
      <c r="D27" s="262">
        <f>'1. tvēruma emisijas'!F51</f>
        <v>0</v>
      </c>
      <c r="E27" s="262" t="str">
        <f t="shared" si="11"/>
        <v>LPG 0</v>
      </c>
      <c r="F27" s="262" t="str">
        <f>'1. tvēruma emisijas'!I51&amp;" - "&amp;A27</f>
        <v xml:space="preserve"> - LPG</v>
      </c>
      <c r="G27" s="262" t="str">
        <f>Informācija!$F$10&amp;" "&amp;Informācija!$F$12</f>
        <v xml:space="preserve"> </v>
      </c>
      <c r="H27" s="262">
        <f>IF(B27="YES", '1. tvēruma emisijas'!J51, 0)</f>
        <v>0</v>
      </c>
      <c r="I27" s="262" t="str">
        <f>'1. tvēruma emisijas'!K51</f>
        <v>km</v>
      </c>
      <c r="J27" s="262">
        <f>IF(B27="YES",'1. tvēruma emisijas'!L51,0)</f>
        <v>0</v>
      </c>
      <c r="K27" s="269" t="str">
        <f>'1. tvēruma emisijas'!M51</f>
        <v>EUR</v>
      </c>
      <c r="L27" s="319">
        <f>IFERROR(VLOOKUP(G27,'Fuel prices'!$B$20:$E$34,4,FALSE),0)</f>
        <v>0</v>
      </c>
      <c r="M27" s="261">
        <f>IFERROR(VLOOKUP(E27,'Carbon Factors'!$B$2:$H$481,5,FALSE),0)</f>
        <v>0</v>
      </c>
      <c r="N27" s="262">
        <f>IFERROR(VLOOKUP(F27,'Carbon Factors'!$B$2:$H$481,5,FALSE),0)</f>
        <v>0</v>
      </c>
      <c r="O27" s="268">
        <f>IFERROR(VLOOKUP("LPG L",'Carbon Factors'!$B$2:$H$481,5,FALSE),0)</f>
        <v>1.5571300000000001E-3</v>
      </c>
      <c r="P27" s="261">
        <f t="shared" si="12"/>
        <v>0</v>
      </c>
      <c r="Q27" s="262">
        <f>IFERROR(VLOOKUP(E27,'Carbon Factors'!$B$2:$K$448,9,FALSE),0)</f>
        <v>0</v>
      </c>
      <c r="R27" s="262">
        <f t="shared" si="13"/>
        <v>0</v>
      </c>
      <c r="S27" s="262">
        <f>IFERROR(VLOOKUP((A27),'Carbon Factors'!$B$2:$K$448,9,FALSE),0)</f>
        <v>0</v>
      </c>
      <c r="T27" s="262">
        <f t="shared" si="14"/>
        <v>0</v>
      </c>
      <c r="U27" s="269">
        <f t="shared" si="15"/>
        <v>0</v>
      </c>
      <c r="V27" s="261">
        <f t="shared" si="16"/>
        <v>0</v>
      </c>
      <c r="W27" s="262">
        <f t="shared" si="4"/>
        <v>0</v>
      </c>
      <c r="X27" s="262">
        <f t="shared" si="17"/>
        <v>0</v>
      </c>
      <c r="Y27" s="262">
        <f t="shared" si="18"/>
        <v>0</v>
      </c>
      <c r="Z27" s="258">
        <f t="shared" si="10"/>
        <v>0</v>
      </c>
    </row>
    <row r="28" spans="1:31" ht="22" customHeight="1" x14ac:dyDescent="0.35">
      <c r="A28" s="259" t="s">
        <v>96</v>
      </c>
      <c r="B28" s="260" t="str" cm="1">
        <f t="array" ref="B28">IFERROR(_xlfn.IFS('1. tvēruma emisijas'!$C$50="Yes","YES",'1. tvēruma emisijas'!$C$50="Jah","YES", '1. tvēruma emisijas'!$C$50="Taip","YES",'1. tvēruma emisijas'!$C$50="Jā","YES"),"NO")</f>
        <v>NO</v>
      </c>
      <c r="C28" s="265">
        <f>IF(B28="YES",'1. tvēruma emisijas'!E52,0)</f>
        <v>0</v>
      </c>
      <c r="D28" s="262">
        <f>'1. tvēruma emisijas'!F52</f>
        <v>0</v>
      </c>
      <c r="E28" s="262" t="str">
        <f t="shared" si="11"/>
        <v>LPG 0</v>
      </c>
      <c r="F28" s="262" t="str">
        <f>'1. tvēruma emisijas'!I52&amp;" - "&amp;A28</f>
        <v xml:space="preserve"> - LPG</v>
      </c>
      <c r="G28" s="262" t="str">
        <f>Informācija!$F$10&amp;" "&amp;Informācija!$F$12</f>
        <v xml:space="preserve"> </v>
      </c>
      <c r="H28" s="262">
        <f>IF(B28="YES", '1. tvēruma emisijas'!J52, 0)</f>
        <v>0</v>
      </c>
      <c r="I28" s="262" t="str">
        <f>'1. tvēruma emisijas'!K52</f>
        <v>km</v>
      </c>
      <c r="J28" s="262">
        <f>IF(B28="YES",'1. tvēruma emisijas'!L52,0)</f>
        <v>0</v>
      </c>
      <c r="K28" s="269" t="str">
        <f>'1. tvēruma emisijas'!M52</f>
        <v>EUR</v>
      </c>
      <c r="L28" s="319">
        <f>IFERROR(VLOOKUP(G28,'Fuel prices'!$B$20:$E$34,4,FALSE),0)</f>
        <v>0</v>
      </c>
      <c r="M28" s="261">
        <f>IFERROR(VLOOKUP(E28,'Carbon Factors'!$B$2:$H$481,5,FALSE),0)</f>
        <v>0</v>
      </c>
      <c r="N28" s="262">
        <f>IFERROR(VLOOKUP(F28,'Carbon Factors'!$B$2:$H$481,5,FALSE),0)</f>
        <v>0</v>
      </c>
      <c r="O28" s="268">
        <f>IFERROR(VLOOKUP("LPG L",'Carbon Factors'!$B$2:$H$481,5,FALSE),0)</f>
        <v>1.5571300000000001E-3</v>
      </c>
      <c r="P28" s="261">
        <f t="shared" si="12"/>
        <v>0</v>
      </c>
      <c r="Q28" s="262">
        <f>IFERROR(VLOOKUP(E28,'Carbon Factors'!$B$2:$K$448,9,FALSE),0)</f>
        <v>0</v>
      </c>
      <c r="R28" s="262">
        <f t="shared" si="13"/>
        <v>0</v>
      </c>
      <c r="S28" s="262">
        <f>IFERROR(VLOOKUP((A28),'Carbon Factors'!$B$2:$K$448,9,FALSE),0)</f>
        <v>0</v>
      </c>
      <c r="T28" s="262">
        <f t="shared" si="14"/>
        <v>0</v>
      </c>
      <c r="U28" s="269">
        <f t="shared" si="15"/>
        <v>0</v>
      </c>
      <c r="V28" s="261">
        <f t="shared" si="16"/>
        <v>0</v>
      </c>
      <c r="W28" s="262">
        <f t="shared" si="4"/>
        <v>0</v>
      </c>
      <c r="X28" s="262">
        <f t="shared" si="17"/>
        <v>0</v>
      </c>
      <c r="Y28" s="262">
        <f t="shared" si="18"/>
        <v>0</v>
      </c>
      <c r="Z28" s="258">
        <f t="shared" si="10"/>
        <v>0</v>
      </c>
    </row>
    <row r="29" spans="1:31" ht="22" customHeight="1" x14ac:dyDescent="0.35">
      <c r="A29" s="259" t="s">
        <v>121</v>
      </c>
      <c r="B29" s="260" t="str" cm="1">
        <f t="array" ref="B29">IFERROR(_xlfn.IFS('1. tvēruma emisijas'!$C$53="Yes","YES",'1. tvēruma emisijas'!$C$53="Jah","YES", '1. tvēruma emisijas'!$C$53="Taip","YES",'1. tvēruma emisijas'!$C$53="Jā","YES"),"NO")</f>
        <v>NO</v>
      </c>
      <c r="C29" s="265">
        <f>IF(B29="YES",'1. tvēruma emisijas'!E53,0)</f>
        <v>0</v>
      </c>
      <c r="D29" s="262">
        <f>'1. tvēruma emisijas'!F53</f>
        <v>0</v>
      </c>
      <c r="E29" s="262" t="str">
        <f t="shared" si="11"/>
        <v>CNG 0</v>
      </c>
      <c r="F29" s="262" t="str">
        <f>'1. tvēruma emisijas'!I53&amp;" - "&amp;A29</f>
        <v xml:space="preserve"> - CNG</v>
      </c>
      <c r="G29" s="263"/>
      <c r="H29" s="262">
        <f>IF(B29="YES", '1. tvēruma emisijas'!J53, 0)</f>
        <v>0</v>
      </c>
      <c r="I29" s="262" t="str">
        <f>'1. tvēruma emisijas'!K53</f>
        <v>km</v>
      </c>
      <c r="J29" s="263"/>
      <c r="K29" s="317"/>
      <c r="L29" s="318"/>
      <c r="M29" s="261">
        <f>IFERROR(VLOOKUP(E29,'Carbon Factors'!$B$2:$H$481,5,FALSE),0)</f>
        <v>0</v>
      </c>
      <c r="N29" s="262">
        <f>IFERROR(VLOOKUP(F29,'Carbon Factors'!$B$2:$H$481,5,FALSE),0)</f>
        <v>0</v>
      </c>
      <c r="O29" s="317"/>
      <c r="P29" s="261">
        <f t="shared" si="12"/>
        <v>0</v>
      </c>
      <c r="Q29" s="262">
        <f>IFERROR(VLOOKUP(E29,'Carbon Factors'!$B$2:$K$448,9,FALSE),0)</f>
        <v>0</v>
      </c>
      <c r="R29" s="262">
        <f t="shared" si="13"/>
        <v>0</v>
      </c>
      <c r="S29" s="262">
        <f>IFERROR(VLOOKUP((A29),'Carbon Factors'!$B$2:$K$448,9,FALSE),0)</f>
        <v>0</v>
      </c>
      <c r="T29" s="263"/>
      <c r="U29" s="263"/>
      <c r="V29" s="261">
        <f t="shared" si="16"/>
        <v>0</v>
      </c>
      <c r="W29" s="262">
        <f t="shared" si="4"/>
        <v>0</v>
      </c>
      <c r="X29" s="262">
        <f t="shared" si="17"/>
        <v>0</v>
      </c>
      <c r="Y29" s="262">
        <f t="shared" si="18"/>
        <v>0</v>
      </c>
      <c r="Z29" s="258">
        <f t="shared" si="10"/>
        <v>0</v>
      </c>
    </row>
    <row r="30" spans="1:31" ht="22" customHeight="1" x14ac:dyDescent="0.35">
      <c r="A30" s="259" t="s">
        <v>121</v>
      </c>
      <c r="B30" s="260" t="str" cm="1">
        <f t="array" ref="B30">IFERROR(_xlfn.IFS('1. tvēruma emisijas'!$C$53="Yes","YES",'1. tvēruma emisijas'!$C$53="Jah","YES", '1. tvēruma emisijas'!$C$53="Taip","YES",'1. tvēruma emisijas'!$C$53="Jā","YES"),"NO")</f>
        <v>NO</v>
      </c>
      <c r="C30" s="265">
        <f>IF(B30="YES",'1. tvēruma emisijas'!E54,0)</f>
        <v>0</v>
      </c>
      <c r="D30" s="262">
        <f>'1. tvēruma emisijas'!F54</f>
        <v>0</v>
      </c>
      <c r="E30" s="262" t="str">
        <f t="shared" si="11"/>
        <v>CNG 0</v>
      </c>
      <c r="F30" s="262" t="str">
        <f>'1. tvēruma emisijas'!I54&amp;" - "&amp;A30</f>
        <v xml:space="preserve"> - CNG</v>
      </c>
      <c r="G30" s="263"/>
      <c r="H30" s="262">
        <f>IF(B30="YES", '1. tvēruma emisijas'!J54, 0)</f>
        <v>0</v>
      </c>
      <c r="I30" s="262" t="str">
        <f>'1. tvēruma emisijas'!K54</f>
        <v>km</v>
      </c>
      <c r="J30" s="263"/>
      <c r="K30" s="317"/>
      <c r="L30" s="318"/>
      <c r="M30" s="261">
        <f>IFERROR(VLOOKUP(E30,'Carbon Factors'!$B$2:$H$481,5,FALSE),0)</f>
        <v>0</v>
      </c>
      <c r="N30" s="262">
        <f>IFERROR(VLOOKUP(F30,'Carbon Factors'!$B$2:$H$481,5,FALSE),0)</f>
        <v>0</v>
      </c>
      <c r="O30" s="317"/>
      <c r="P30" s="261">
        <f t="shared" si="12"/>
        <v>0</v>
      </c>
      <c r="Q30" s="262">
        <f>IFERROR(VLOOKUP(E30,'Carbon Factors'!$B$2:$K$448,9,FALSE),0)</f>
        <v>0</v>
      </c>
      <c r="R30" s="262">
        <f t="shared" si="13"/>
        <v>0</v>
      </c>
      <c r="S30" s="262">
        <f>IFERROR(VLOOKUP((A30),'Carbon Factors'!$B$2:$K$448,9,FALSE),0)</f>
        <v>0</v>
      </c>
      <c r="T30" s="263"/>
      <c r="U30" s="263"/>
      <c r="V30" s="261">
        <f t="shared" si="16"/>
        <v>0</v>
      </c>
      <c r="W30" s="262">
        <f t="shared" si="4"/>
        <v>0</v>
      </c>
      <c r="X30" s="262">
        <f t="shared" si="17"/>
        <v>0</v>
      </c>
      <c r="Y30" s="262">
        <f t="shared" si="18"/>
        <v>0</v>
      </c>
      <c r="Z30" s="258">
        <f t="shared" si="10"/>
        <v>0</v>
      </c>
    </row>
    <row r="31" spans="1:31" ht="22" customHeight="1" x14ac:dyDescent="0.35">
      <c r="A31" s="259" t="s">
        <v>121</v>
      </c>
      <c r="B31" s="260" t="str" cm="1">
        <f t="array" ref="B31">IFERROR(_xlfn.IFS('1. tvēruma emisijas'!$C$53="Yes","YES",'1. tvēruma emisijas'!$C$53="Jah","YES", '1. tvēruma emisijas'!$C$53="Taip","YES",'1. tvēruma emisijas'!$C$53="Jā","YES"),"NO")</f>
        <v>NO</v>
      </c>
      <c r="C31" s="265">
        <f>IF(B31="YES",'1. tvēruma emisijas'!E55,0)</f>
        <v>0</v>
      </c>
      <c r="D31" s="262">
        <f>'1. tvēruma emisijas'!F55</f>
        <v>0</v>
      </c>
      <c r="E31" s="262" t="str">
        <f t="shared" si="11"/>
        <v>CNG 0</v>
      </c>
      <c r="F31" s="262" t="str">
        <f>'1. tvēruma emisijas'!I55&amp;" - "&amp;A31</f>
        <v xml:space="preserve"> - CNG</v>
      </c>
      <c r="G31" s="263"/>
      <c r="H31" s="262">
        <f>IF(B31="YES", '1. tvēruma emisijas'!J55, 0)</f>
        <v>0</v>
      </c>
      <c r="I31" s="262" t="str">
        <f>'1. tvēruma emisijas'!K55</f>
        <v>km</v>
      </c>
      <c r="J31" s="263"/>
      <c r="K31" s="317"/>
      <c r="L31" s="318"/>
      <c r="M31" s="261">
        <f>IFERROR(VLOOKUP(E31,'Carbon Factors'!$B$2:$H$481,5,FALSE),0)</f>
        <v>0</v>
      </c>
      <c r="N31" s="262">
        <f>IFERROR(VLOOKUP(F31,'Carbon Factors'!$B$2:$H$481,5,FALSE),0)</f>
        <v>0</v>
      </c>
      <c r="O31" s="317"/>
      <c r="P31" s="261">
        <f t="shared" si="12"/>
        <v>0</v>
      </c>
      <c r="Q31" s="262">
        <f>IFERROR(VLOOKUP(E31,'Carbon Factors'!$B$2:$K$448,9,FALSE),0)</f>
        <v>0</v>
      </c>
      <c r="R31" s="262">
        <f t="shared" si="13"/>
        <v>0</v>
      </c>
      <c r="S31" s="262">
        <f>IFERROR(VLOOKUP((A31),'Carbon Factors'!$B$2:$K$448,9,FALSE),0)</f>
        <v>0</v>
      </c>
      <c r="T31" s="263"/>
      <c r="U31" s="263"/>
      <c r="V31" s="261">
        <f t="shared" si="16"/>
        <v>0</v>
      </c>
      <c r="W31" s="262">
        <f t="shared" si="4"/>
        <v>0</v>
      </c>
      <c r="X31" s="262">
        <f t="shared" si="17"/>
        <v>0</v>
      </c>
      <c r="Y31" s="262">
        <f t="shared" si="18"/>
        <v>0</v>
      </c>
      <c r="Z31" s="258">
        <f t="shared" si="10"/>
        <v>0</v>
      </c>
    </row>
    <row r="32" spans="1:31" ht="22" customHeight="1" x14ac:dyDescent="0.35">
      <c r="A32" s="259" t="s">
        <v>122</v>
      </c>
      <c r="B32" s="260" t="str" cm="1">
        <f t="array" ref="B32">IFERROR(_xlfn.IFS('1. tvēruma emisijas'!$C$57="Yes","YES",'1. tvēruma emisijas'!$C$57="Jah","YES", '1. tvēruma emisijas'!$C$57="Taip","YES",'1. tvēruma emisijas'!$C$57="Jā","YES"),"NO")</f>
        <v>NO</v>
      </c>
      <c r="C32" s="265">
        <f>IF(B32="YES",'1. tvēruma emisijas'!E57,0)</f>
        <v>0</v>
      </c>
      <c r="D32" s="262" t="str">
        <f>'1. tvēruma emisijas'!F57</f>
        <v>kg</v>
      </c>
      <c r="E32" s="262" t="str">
        <f t="shared" si="11"/>
        <v>AdBlue kg</v>
      </c>
      <c r="F32" s="263"/>
      <c r="G32" s="263"/>
      <c r="H32" s="263"/>
      <c r="I32" s="263"/>
      <c r="J32" s="263"/>
      <c r="K32" s="264"/>
      <c r="L32" s="263"/>
      <c r="M32" s="261">
        <f>IFERROR(VLOOKUP(E32,'Carbon Factors'!$B$2:$H$481,5,FALSE),0)</f>
        <v>2.3799999999999998E-4</v>
      </c>
      <c r="N32" s="263"/>
      <c r="O32" s="264"/>
      <c r="P32" s="266">
        <f t="shared" ref="P32" si="19">C32*M32</f>
        <v>0</v>
      </c>
      <c r="Q32" s="262" t="str">
        <f>IFERROR(VLOOKUP(E32,'Carbon Factors'!$B$2:$K$448,9,FALSE),0)</f>
        <v>tCO2e</v>
      </c>
      <c r="R32" s="263"/>
      <c r="S32" s="263"/>
      <c r="T32" s="263"/>
      <c r="U32" s="263"/>
      <c r="V32" s="261">
        <f t="shared" ref="V32" si="20">P32+R32</f>
        <v>0</v>
      </c>
      <c r="W32" s="262" t="str">
        <f t="shared" ref="W32" si="21">Q32</f>
        <v>tCO2e</v>
      </c>
      <c r="X32" s="262">
        <f>V32</f>
        <v>0</v>
      </c>
      <c r="Y32" s="263"/>
      <c r="Z32" s="258">
        <f t="shared" si="10"/>
        <v>0</v>
      </c>
    </row>
    <row r="33" spans="1:31" ht="22" customHeight="1" x14ac:dyDescent="0.35">
      <c r="A33" s="253" t="s">
        <v>415</v>
      </c>
      <c r="B33" s="254"/>
      <c r="C33" s="592"/>
      <c r="D33" s="593"/>
      <c r="E33" s="593"/>
      <c r="F33" s="593"/>
      <c r="G33" s="593"/>
      <c r="H33" s="593"/>
      <c r="I33" s="593"/>
      <c r="J33" s="593"/>
      <c r="K33" s="594"/>
      <c r="L33" s="255"/>
      <c r="M33" s="592"/>
      <c r="N33" s="593"/>
      <c r="O33" s="594"/>
      <c r="P33" s="592"/>
      <c r="Q33" s="593"/>
      <c r="R33" s="593"/>
      <c r="S33" s="593"/>
      <c r="T33" s="593"/>
      <c r="U33" s="594"/>
      <c r="V33" s="606"/>
      <c r="W33" s="607"/>
      <c r="X33" s="607"/>
      <c r="Y33" s="607"/>
      <c r="Z33" s="608"/>
      <c r="AA33" s="590" t="s">
        <v>416</v>
      </c>
      <c r="AB33" s="244" t="s">
        <v>387</v>
      </c>
      <c r="AC33" s="244" t="s">
        <v>388</v>
      </c>
      <c r="AD33" s="244" t="s">
        <v>390</v>
      </c>
      <c r="AE33" s="245" t="s">
        <v>391</v>
      </c>
    </row>
    <row r="34" spans="1:31" ht="22" customHeight="1" x14ac:dyDescent="0.35">
      <c r="A34" s="259">
        <f>'1. tvēruma emisijas'!C67</f>
        <v>0</v>
      </c>
      <c r="B34" s="260" t="str">
        <f>IF('1. tvēruma emisijas'!C67&gt;0,"YES","NO")</f>
        <v>NO</v>
      </c>
      <c r="C34" s="270">
        <f>'1. tvēruma emisijas'!E67</f>
        <v>0</v>
      </c>
      <c r="D34" s="271" t="str">
        <f>'1. tvēruma emisijas'!F67</f>
        <v>kg</v>
      </c>
      <c r="E34" s="271">
        <f>'1. tvēruma emisijas'!C67</f>
        <v>0</v>
      </c>
      <c r="F34" s="263"/>
      <c r="G34" s="263"/>
      <c r="H34" s="263"/>
      <c r="I34" s="263"/>
      <c r="J34" s="263"/>
      <c r="K34" s="264"/>
      <c r="L34" s="263"/>
      <c r="M34" s="270">
        <f>IFERROR(VLOOKUP(E34,'Carbon Factors'!$B$2:$H$481,5,FALSE),0)</f>
        <v>0</v>
      </c>
      <c r="N34" s="263"/>
      <c r="O34" s="264"/>
      <c r="P34" s="272">
        <f>M34*C34</f>
        <v>0</v>
      </c>
      <c r="Q34" s="271">
        <f>IFERROR(VLOOKUP(E34,'Carbon Factors'!$B$2:$K$448,9,FALSE),0)</f>
        <v>0</v>
      </c>
      <c r="R34" s="263"/>
      <c r="S34" s="263"/>
      <c r="T34" s="263"/>
      <c r="U34" s="263"/>
      <c r="V34" s="270">
        <f t="shared" ref="V34" si="22">P34+R34</f>
        <v>0</v>
      </c>
      <c r="W34" s="271">
        <f t="shared" ref="W34" si="23">Q34</f>
        <v>0</v>
      </c>
      <c r="X34" s="262">
        <f t="shared" ref="X34:X43" si="24">P34</f>
        <v>0</v>
      </c>
      <c r="Y34" s="263"/>
      <c r="Z34" s="258">
        <f t="shared" ref="Z34:Z43" si="25">IFERROR(P34/V34,0)</f>
        <v>0</v>
      </c>
      <c r="AA34" s="591"/>
      <c r="AB34" s="257">
        <f>SUM(X34:X43)</f>
        <v>0</v>
      </c>
      <c r="AC34" s="257">
        <f>SUM(Y34:Y43)</f>
        <v>0</v>
      </c>
      <c r="AD34" s="257">
        <f>SUM(V34:V43)</f>
        <v>0</v>
      </c>
      <c r="AE34" s="258">
        <f>IFERROR(AB34/AD34,0)</f>
        <v>0</v>
      </c>
    </row>
    <row r="35" spans="1:31" ht="22" customHeight="1" x14ac:dyDescent="0.35">
      <c r="A35" s="259">
        <f>'1. tvēruma emisijas'!C68</f>
        <v>0</v>
      </c>
      <c r="B35" s="260" t="str">
        <f>IF('1. tvēruma emisijas'!C68&gt;0,"YES","NO")</f>
        <v>NO</v>
      </c>
      <c r="C35" s="270">
        <f>'1. tvēruma emisijas'!E68</f>
        <v>0</v>
      </c>
      <c r="D35" s="271" t="str">
        <f>'1. tvēruma emisijas'!F68</f>
        <v>kg</v>
      </c>
      <c r="E35" s="271">
        <f>'1. tvēruma emisijas'!C68</f>
        <v>0</v>
      </c>
      <c r="F35" s="263"/>
      <c r="G35" s="263"/>
      <c r="H35" s="263"/>
      <c r="I35" s="263"/>
      <c r="J35" s="263"/>
      <c r="K35" s="264"/>
      <c r="L35" s="263"/>
      <c r="M35" s="270">
        <f>IFERROR(VLOOKUP(E35,'Carbon Factors'!$B$2:$H$481,5,FALSE),0)</f>
        <v>0</v>
      </c>
      <c r="N35" s="263"/>
      <c r="O35" s="264"/>
      <c r="P35" s="272">
        <f t="shared" ref="P35:P43" si="26">M35*C35</f>
        <v>0</v>
      </c>
      <c r="Q35" s="271">
        <f>IFERROR(VLOOKUP(E35,'Carbon Factors'!$B$2:$K$448,9,FALSE),0)</f>
        <v>0</v>
      </c>
      <c r="R35" s="263"/>
      <c r="S35" s="263"/>
      <c r="T35" s="263"/>
      <c r="U35" s="263"/>
      <c r="V35" s="270">
        <f t="shared" ref="V35:V43" si="27">P35+R35</f>
        <v>0</v>
      </c>
      <c r="W35" s="271">
        <f t="shared" ref="W35:W43" si="28">Q35</f>
        <v>0</v>
      </c>
      <c r="X35" s="262">
        <f t="shared" si="24"/>
        <v>0</v>
      </c>
      <c r="Y35" s="263"/>
      <c r="Z35" s="258">
        <f t="shared" si="25"/>
        <v>0</v>
      </c>
    </row>
    <row r="36" spans="1:31" ht="22" customHeight="1" x14ac:dyDescent="0.35">
      <c r="A36" s="259">
        <f>'1. tvēruma emisijas'!C69</f>
        <v>0</v>
      </c>
      <c r="B36" s="260" t="str">
        <f>IF('1. tvēruma emisijas'!C69&gt;0,"YES","NO")</f>
        <v>NO</v>
      </c>
      <c r="C36" s="270">
        <f>'1. tvēruma emisijas'!E69</f>
        <v>0</v>
      </c>
      <c r="D36" s="271" t="str">
        <f>'1. tvēruma emisijas'!F69</f>
        <v>kg</v>
      </c>
      <c r="E36" s="271">
        <f>'1. tvēruma emisijas'!C69</f>
        <v>0</v>
      </c>
      <c r="F36" s="263"/>
      <c r="G36" s="263"/>
      <c r="H36" s="263"/>
      <c r="I36" s="263"/>
      <c r="J36" s="263"/>
      <c r="K36" s="264"/>
      <c r="L36" s="263"/>
      <c r="M36" s="270">
        <f>IFERROR(VLOOKUP(E36,'Carbon Factors'!$B$2:$H$481,5,FALSE),0)</f>
        <v>0</v>
      </c>
      <c r="N36" s="263"/>
      <c r="O36" s="264"/>
      <c r="P36" s="272">
        <f t="shared" si="26"/>
        <v>0</v>
      </c>
      <c r="Q36" s="271">
        <f>IFERROR(VLOOKUP(E36,'Carbon Factors'!$B$2:$K$448,9,FALSE),0)</f>
        <v>0</v>
      </c>
      <c r="R36" s="263"/>
      <c r="S36" s="263"/>
      <c r="T36" s="263"/>
      <c r="U36" s="263"/>
      <c r="V36" s="270">
        <f t="shared" si="27"/>
        <v>0</v>
      </c>
      <c r="W36" s="271">
        <f t="shared" si="28"/>
        <v>0</v>
      </c>
      <c r="X36" s="262">
        <f t="shared" si="24"/>
        <v>0</v>
      </c>
      <c r="Y36" s="263"/>
      <c r="Z36" s="258">
        <f t="shared" si="25"/>
        <v>0</v>
      </c>
    </row>
    <row r="37" spans="1:31" ht="22" customHeight="1" x14ac:dyDescent="0.35">
      <c r="A37" s="259">
        <f>'1. tvēruma emisijas'!C70</f>
        <v>0</v>
      </c>
      <c r="B37" s="260" t="str">
        <f>IF('1. tvēruma emisijas'!C70&gt;0,"YES","NO")</f>
        <v>NO</v>
      </c>
      <c r="C37" s="270">
        <f>'1. tvēruma emisijas'!E70</f>
        <v>0</v>
      </c>
      <c r="D37" s="271" t="str">
        <f>'1. tvēruma emisijas'!F70</f>
        <v>kg</v>
      </c>
      <c r="E37" s="271">
        <f>'1. tvēruma emisijas'!C70</f>
        <v>0</v>
      </c>
      <c r="F37" s="263"/>
      <c r="G37" s="263"/>
      <c r="H37" s="263"/>
      <c r="I37" s="263"/>
      <c r="J37" s="263"/>
      <c r="K37" s="264"/>
      <c r="L37" s="263"/>
      <c r="M37" s="270">
        <f>IFERROR(VLOOKUP(E37,'Carbon Factors'!$B$2:$H$481,5,FALSE),0)</f>
        <v>0</v>
      </c>
      <c r="N37" s="263"/>
      <c r="O37" s="264"/>
      <c r="P37" s="272">
        <f t="shared" si="26"/>
        <v>0</v>
      </c>
      <c r="Q37" s="271">
        <f>IFERROR(VLOOKUP(E37,'Carbon Factors'!$B$2:$K$448,9,FALSE),0)</f>
        <v>0</v>
      </c>
      <c r="R37" s="263"/>
      <c r="S37" s="263"/>
      <c r="T37" s="263"/>
      <c r="U37" s="263"/>
      <c r="V37" s="270">
        <f t="shared" si="27"/>
        <v>0</v>
      </c>
      <c r="W37" s="271">
        <f t="shared" si="28"/>
        <v>0</v>
      </c>
      <c r="X37" s="262">
        <f t="shared" si="24"/>
        <v>0</v>
      </c>
      <c r="Y37" s="263"/>
      <c r="Z37" s="258">
        <f t="shared" si="25"/>
        <v>0</v>
      </c>
    </row>
    <row r="38" spans="1:31" ht="22" customHeight="1" x14ac:dyDescent="0.35">
      <c r="A38" s="259">
        <f>'1. tvēruma emisijas'!C71</f>
        <v>0</v>
      </c>
      <c r="B38" s="260" t="str">
        <f>IF('1. tvēruma emisijas'!C71&gt;0,"YES","NO")</f>
        <v>NO</v>
      </c>
      <c r="C38" s="270">
        <f>'1. tvēruma emisijas'!E71</f>
        <v>0</v>
      </c>
      <c r="D38" s="271" t="str">
        <f>'1. tvēruma emisijas'!F71</f>
        <v>kg</v>
      </c>
      <c r="E38" s="271">
        <f>'1. tvēruma emisijas'!C71</f>
        <v>0</v>
      </c>
      <c r="F38" s="263"/>
      <c r="G38" s="263"/>
      <c r="H38" s="263"/>
      <c r="I38" s="263"/>
      <c r="J38" s="263"/>
      <c r="K38" s="264"/>
      <c r="L38" s="263"/>
      <c r="M38" s="270">
        <f>IFERROR(VLOOKUP(E38,'Carbon Factors'!$B$2:$H$481,5,FALSE),0)</f>
        <v>0</v>
      </c>
      <c r="N38" s="263"/>
      <c r="O38" s="264"/>
      <c r="P38" s="272">
        <f t="shared" si="26"/>
        <v>0</v>
      </c>
      <c r="Q38" s="271">
        <f>IFERROR(VLOOKUP(E38,'Carbon Factors'!$B$2:$K$448,9,FALSE),0)</f>
        <v>0</v>
      </c>
      <c r="R38" s="263"/>
      <c r="S38" s="263"/>
      <c r="T38" s="263"/>
      <c r="U38" s="263"/>
      <c r="V38" s="270">
        <f t="shared" si="27"/>
        <v>0</v>
      </c>
      <c r="W38" s="271">
        <f t="shared" si="28"/>
        <v>0</v>
      </c>
      <c r="X38" s="262">
        <f t="shared" si="24"/>
        <v>0</v>
      </c>
      <c r="Y38" s="263"/>
      <c r="Z38" s="258">
        <f t="shared" si="25"/>
        <v>0</v>
      </c>
    </row>
    <row r="39" spans="1:31" ht="22" customHeight="1" x14ac:dyDescent="0.35">
      <c r="A39" s="259">
        <f>'1. tvēruma emisijas'!C72</f>
        <v>0</v>
      </c>
      <c r="B39" s="260" t="str">
        <f>IF('1. tvēruma emisijas'!C72&gt;0,"YES","NO")</f>
        <v>NO</v>
      </c>
      <c r="C39" s="270">
        <f>'1. tvēruma emisijas'!E72</f>
        <v>0</v>
      </c>
      <c r="D39" s="271" t="str">
        <f>'1. tvēruma emisijas'!F72</f>
        <v>kg</v>
      </c>
      <c r="E39" s="271">
        <f>'1. tvēruma emisijas'!C72</f>
        <v>0</v>
      </c>
      <c r="F39" s="263"/>
      <c r="G39" s="263"/>
      <c r="H39" s="263"/>
      <c r="I39" s="263"/>
      <c r="J39" s="263"/>
      <c r="K39" s="264"/>
      <c r="L39" s="263"/>
      <c r="M39" s="270">
        <f>IFERROR(VLOOKUP(E39,'Carbon Factors'!$B$2:$H$481,5,FALSE),0)</f>
        <v>0</v>
      </c>
      <c r="N39" s="263"/>
      <c r="O39" s="264"/>
      <c r="P39" s="272">
        <f t="shared" si="26"/>
        <v>0</v>
      </c>
      <c r="Q39" s="271">
        <f>IFERROR(VLOOKUP(E39,'Carbon Factors'!$B$2:$K$448,9,FALSE),0)</f>
        <v>0</v>
      </c>
      <c r="R39" s="263"/>
      <c r="S39" s="263"/>
      <c r="T39" s="263"/>
      <c r="U39" s="263"/>
      <c r="V39" s="270">
        <f t="shared" si="27"/>
        <v>0</v>
      </c>
      <c r="W39" s="271">
        <f t="shared" si="28"/>
        <v>0</v>
      </c>
      <c r="X39" s="262">
        <f t="shared" si="24"/>
        <v>0</v>
      </c>
      <c r="Y39" s="263"/>
      <c r="Z39" s="258">
        <f t="shared" si="25"/>
        <v>0</v>
      </c>
    </row>
    <row r="40" spans="1:31" ht="22" customHeight="1" x14ac:dyDescent="0.35">
      <c r="A40" s="259">
        <f>'1. tvēruma emisijas'!C73</f>
        <v>0</v>
      </c>
      <c r="B40" s="260" t="str">
        <f>IF('1. tvēruma emisijas'!C73&gt;0,"YES","NO")</f>
        <v>NO</v>
      </c>
      <c r="C40" s="270">
        <f>'1. tvēruma emisijas'!E73</f>
        <v>0</v>
      </c>
      <c r="D40" s="271" t="str">
        <f>'1. tvēruma emisijas'!F73</f>
        <v>kg</v>
      </c>
      <c r="E40" s="271">
        <f>'1. tvēruma emisijas'!C73</f>
        <v>0</v>
      </c>
      <c r="F40" s="263"/>
      <c r="G40" s="263"/>
      <c r="H40" s="263"/>
      <c r="I40" s="263"/>
      <c r="J40" s="263"/>
      <c r="K40" s="264"/>
      <c r="L40" s="263"/>
      <c r="M40" s="270">
        <f>IFERROR(VLOOKUP(E40,'Carbon Factors'!$B$2:$H$481,5,FALSE),0)</f>
        <v>0</v>
      </c>
      <c r="N40" s="263"/>
      <c r="O40" s="264"/>
      <c r="P40" s="272">
        <f t="shared" si="26"/>
        <v>0</v>
      </c>
      <c r="Q40" s="271">
        <f>IFERROR(VLOOKUP(E40,'Carbon Factors'!$B$2:$K$448,9,FALSE),0)</f>
        <v>0</v>
      </c>
      <c r="R40" s="263"/>
      <c r="S40" s="263"/>
      <c r="T40" s="263"/>
      <c r="U40" s="263"/>
      <c r="V40" s="270">
        <f t="shared" si="27"/>
        <v>0</v>
      </c>
      <c r="W40" s="271">
        <f t="shared" si="28"/>
        <v>0</v>
      </c>
      <c r="X40" s="262">
        <f t="shared" si="24"/>
        <v>0</v>
      </c>
      <c r="Y40" s="263"/>
      <c r="Z40" s="258">
        <f t="shared" si="25"/>
        <v>0</v>
      </c>
    </row>
    <row r="41" spans="1:31" ht="22" customHeight="1" x14ac:dyDescent="0.35">
      <c r="A41" s="259">
        <f>'1. tvēruma emisijas'!C74</f>
        <v>0</v>
      </c>
      <c r="B41" s="260" t="str">
        <f>IF('1. tvēruma emisijas'!C74&gt;0,"YES","NO")</f>
        <v>NO</v>
      </c>
      <c r="C41" s="270">
        <f>'1. tvēruma emisijas'!E74</f>
        <v>0</v>
      </c>
      <c r="D41" s="271" t="str">
        <f>'1. tvēruma emisijas'!F74</f>
        <v>kg</v>
      </c>
      <c r="E41" s="271">
        <f>'1. tvēruma emisijas'!C74</f>
        <v>0</v>
      </c>
      <c r="F41" s="263"/>
      <c r="G41" s="263"/>
      <c r="H41" s="263"/>
      <c r="I41" s="263"/>
      <c r="J41" s="263"/>
      <c r="K41" s="264"/>
      <c r="L41" s="263"/>
      <c r="M41" s="270">
        <f>IFERROR(VLOOKUP(E41,'Carbon Factors'!$B$2:$H$481,5,FALSE),0)</f>
        <v>0</v>
      </c>
      <c r="N41" s="263"/>
      <c r="O41" s="264"/>
      <c r="P41" s="272">
        <f t="shared" si="26"/>
        <v>0</v>
      </c>
      <c r="Q41" s="271">
        <f>IFERROR(VLOOKUP(E41,'Carbon Factors'!$B$2:$K$448,9,FALSE),0)</f>
        <v>0</v>
      </c>
      <c r="R41" s="263"/>
      <c r="S41" s="263"/>
      <c r="T41" s="263"/>
      <c r="U41" s="263"/>
      <c r="V41" s="270">
        <f t="shared" si="27"/>
        <v>0</v>
      </c>
      <c r="W41" s="271">
        <f t="shared" si="28"/>
        <v>0</v>
      </c>
      <c r="X41" s="262">
        <f t="shared" si="24"/>
        <v>0</v>
      </c>
      <c r="Y41" s="263"/>
      <c r="Z41" s="258">
        <f t="shared" si="25"/>
        <v>0</v>
      </c>
    </row>
    <row r="42" spans="1:31" ht="22" customHeight="1" x14ac:dyDescent="0.35">
      <c r="A42" s="259">
        <f>'1. tvēruma emisijas'!C75</f>
        <v>0</v>
      </c>
      <c r="B42" s="260" t="str">
        <f>IF('1. tvēruma emisijas'!C75&gt;0,"YES","NO")</f>
        <v>NO</v>
      </c>
      <c r="C42" s="270">
        <f>'1. tvēruma emisijas'!E75</f>
        <v>0</v>
      </c>
      <c r="D42" s="271" t="str">
        <f>'1. tvēruma emisijas'!F75</f>
        <v>kg</v>
      </c>
      <c r="E42" s="271">
        <f>'1. tvēruma emisijas'!C75</f>
        <v>0</v>
      </c>
      <c r="F42" s="263"/>
      <c r="G42" s="263"/>
      <c r="H42" s="263"/>
      <c r="I42" s="263"/>
      <c r="J42" s="263"/>
      <c r="K42" s="264"/>
      <c r="L42" s="263"/>
      <c r="M42" s="270">
        <f>IFERROR(VLOOKUP(E42,'Carbon Factors'!$B$2:$H$481,5,FALSE),0)</f>
        <v>0</v>
      </c>
      <c r="N42" s="263"/>
      <c r="O42" s="264"/>
      <c r="P42" s="272">
        <f t="shared" si="26"/>
        <v>0</v>
      </c>
      <c r="Q42" s="271">
        <f>IFERROR(VLOOKUP(E42,'Carbon Factors'!$B$2:$K$448,9,FALSE),0)</f>
        <v>0</v>
      </c>
      <c r="R42" s="263"/>
      <c r="S42" s="263"/>
      <c r="T42" s="263"/>
      <c r="U42" s="263"/>
      <c r="V42" s="270">
        <f t="shared" si="27"/>
        <v>0</v>
      </c>
      <c r="W42" s="271">
        <f t="shared" si="28"/>
        <v>0</v>
      </c>
      <c r="X42" s="262">
        <f t="shared" si="24"/>
        <v>0</v>
      </c>
      <c r="Y42" s="263"/>
      <c r="Z42" s="258">
        <f t="shared" si="25"/>
        <v>0</v>
      </c>
    </row>
    <row r="43" spans="1:31" ht="22" customHeight="1" x14ac:dyDescent="0.35">
      <c r="A43" s="259">
        <f>'1. tvēruma emisijas'!C76</f>
        <v>0</v>
      </c>
      <c r="B43" s="260" t="str">
        <f>IF('1. tvēruma emisijas'!C76&gt;0,"YES","NO")</f>
        <v>NO</v>
      </c>
      <c r="C43" s="270">
        <f>'1. tvēruma emisijas'!E76</f>
        <v>0</v>
      </c>
      <c r="D43" s="271" t="str">
        <f>'1. tvēruma emisijas'!F76</f>
        <v>kg</v>
      </c>
      <c r="E43" s="271">
        <f>'1. tvēruma emisijas'!C76</f>
        <v>0</v>
      </c>
      <c r="F43" s="263"/>
      <c r="G43" s="263"/>
      <c r="H43" s="263"/>
      <c r="I43" s="263"/>
      <c r="J43" s="263"/>
      <c r="K43" s="264"/>
      <c r="L43" s="263"/>
      <c r="M43" s="270">
        <f>IFERROR(VLOOKUP(E43,'Carbon Factors'!$B$2:$H$481,5,FALSE),0)</f>
        <v>0</v>
      </c>
      <c r="N43" s="263"/>
      <c r="O43" s="264"/>
      <c r="P43" s="272">
        <f t="shared" si="26"/>
        <v>0</v>
      </c>
      <c r="Q43" s="271">
        <f>IFERROR(VLOOKUP(E43,'Carbon Factors'!$B$2:$K$448,9,FALSE),0)</f>
        <v>0</v>
      </c>
      <c r="R43" s="263"/>
      <c r="S43" s="263"/>
      <c r="T43" s="263"/>
      <c r="U43" s="263"/>
      <c r="V43" s="270">
        <f t="shared" si="27"/>
        <v>0</v>
      </c>
      <c r="W43" s="271">
        <f t="shared" si="28"/>
        <v>0</v>
      </c>
      <c r="X43" s="262">
        <f t="shared" si="24"/>
        <v>0</v>
      </c>
      <c r="Y43" s="263"/>
      <c r="Z43" s="258">
        <f t="shared" si="25"/>
        <v>0</v>
      </c>
    </row>
    <row r="44" spans="1:31" ht="22" customHeight="1" x14ac:dyDescent="0.35">
      <c r="A44" s="253" t="s">
        <v>417</v>
      </c>
      <c r="B44" s="254"/>
      <c r="C44" s="592"/>
      <c r="D44" s="593"/>
      <c r="E44" s="593"/>
      <c r="F44" s="593"/>
      <c r="G44" s="593"/>
      <c r="H44" s="593"/>
      <c r="I44" s="593"/>
      <c r="J44" s="593"/>
      <c r="K44" s="594"/>
      <c r="L44" s="255"/>
      <c r="M44" s="592"/>
      <c r="N44" s="593"/>
      <c r="O44" s="594"/>
      <c r="P44" s="592"/>
      <c r="Q44" s="593"/>
      <c r="R44" s="593"/>
      <c r="S44" s="593"/>
      <c r="T44" s="593"/>
      <c r="U44" s="594"/>
      <c r="V44" s="606"/>
      <c r="W44" s="607"/>
      <c r="X44" s="607"/>
      <c r="Y44" s="607"/>
      <c r="Z44" s="608"/>
      <c r="AA44" s="578" t="s">
        <v>418</v>
      </c>
      <c r="AB44" s="244" t="s">
        <v>387</v>
      </c>
      <c r="AC44" s="244" t="s">
        <v>388</v>
      </c>
      <c r="AD44" s="244" t="s">
        <v>390</v>
      </c>
      <c r="AE44" s="245" t="s">
        <v>391</v>
      </c>
    </row>
    <row r="45" spans="1:31" ht="22" customHeight="1" thickBot="1" x14ac:dyDescent="0.4">
      <c r="A45" s="259" t="s">
        <v>419</v>
      </c>
      <c r="B45" s="260" t="str">
        <f>IF('1. tvēruma emisijas'!F79&gt;0,"YES","NO")</f>
        <v>NO</v>
      </c>
      <c r="C45" s="270">
        <f>'1. tvēruma emisijas'!F79</f>
        <v>0</v>
      </c>
      <c r="D45" s="271" t="str">
        <f>'1. tvēruma emisijas'!G79</f>
        <v>tCO2e</v>
      </c>
      <c r="E45" s="263"/>
      <c r="F45" s="273"/>
      <c r="G45" s="273"/>
      <c r="H45" s="263"/>
      <c r="I45" s="263"/>
      <c r="J45" s="263"/>
      <c r="K45" s="264"/>
      <c r="L45" s="264"/>
      <c r="M45" s="263"/>
      <c r="N45" s="263"/>
      <c r="O45" s="264"/>
      <c r="P45" s="263"/>
      <c r="Q45" s="263"/>
      <c r="R45" s="263"/>
      <c r="S45" s="263"/>
      <c r="T45" s="263"/>
      <c r="U45" s="264"/>
      <c r="V45" s="270">
        <f>C45</f>
        <v>0</v>
      </c>
      <c r="W45" s="271" t="s">
        <v>420</v>
      </c>
      <c r="X45" s="262">
        <f t="shared" ref="X45" si="29">V45</f>
        <v>0</v>
      </c>
      <c r="Y45" s="263"/>
      <c r="Z45" s="258">
        <f>IFERROR(P45/V45,0)</f>
        <v>0</v>
      </c>
      <c r="AA45" s="579"/>
      <c r="AB45" s="257">
        <f>X45</f>
        <v>0</v>
      </c>
      <c r="AC45" s="257">
        <f>Y45</f>
        <v>0</v>
      </c>
      <c r="AD45" s="257">
        <f>V45</f>
        <v>0</v>
      </c>
      <c r="AE45" s="258">
        <f>IFERROR(AB45/AD45,0)</f>
        <v>0</v>
      </c>
    </row>
    <row r="46" spans="1:31" ht="22" customHeight="1" thickBot="1" x14ac:dyDescent="0.4">
      <c r="A46" s="253" t="s">
        <v>421</v>
      </c>
      <c r="B46" s="254"/>
      <c r="C46" s="612"/>
      <c r="D46" s="613"/>
      <c r="E46" s="613"/>
      <c r="F46" s="275" t="s">
        <v>422</v>
      </c>
      <c r="G46" s="276" t="s">
        <v>423</v>
      </c>
      <c r="H46" s="613"/>
      <c r="I46" s="613"/>
      <c r="J46" s="613"/>
      <c r="K46" s="614"/>
      <c r="L46" s="274"/>
      <c r="M46" s="622"/>
      <c r="N46" s="613"/>
      <c r="O46" s="614"/>
      <c r="P46" s="592"/>
      <c r="Q46" s="593"/>
      <c r="R46" s="593"/>
      <c r="S46" s="593"/>
      <c r="T46" s="593"/>
      <c r="U46" s="594"/>
      <c r="V46" s="606"/>
      <c r="W46" s="607"/>
      <c r="X46" s="607"/>
      <c r="Y46" s="607"/>
      <c r="Z46" s="608"/>
      <c r="AA46" s="578" t="s">
        <v>421</v>
      </c>
      <c r="AB46" s="244" t="s">
        <v>387</v>
      </c>
      <c r="AC46" s="244" t="s">
        <v>388</v>
      </c>
      <c r="AD46" s="244" t="s">
        <v>390</v>
      </c>
      <c r="AE46" s="245" t="s">
        <v>391</v>
      </c>
    </row>
    <row r="47" spans="1:31" ht="22" customHeight="1" x14ac:dyDescent="0.35">
      <c r="A47" s="259" t="s">
        <v>424</v>
      </c>
      <c r="B47" s="260" t="str" cm="1">
        <f t="array" ref="B47">IFERROR(_xlfn.IFS('1. tvēruma emisijas'!$G$84="YES", "YES", '1. tvēruma emisijas'!$G$84="Jah","YES", '1. tvēruma emisijas'!$G$84="Taip","YES",'1. tvēruma emisijas'!$G$84="Jā","YES"),"NO")</f>
        <v>NO</v>
      </c>
      <c r="C47" s="261">
        <f>IF(B47="YES",'1. tvēruma emisijas'!$E$95,0)</f>
        <v>0</v>
      </c>
      <c r="D47" s="262" t="s">
        <v>425</v>
      </c>
      <c r="E47" s="269" t="str">
        <f>A47&amp;" "&amp;Informācija!$F$12</f>
        <v xml:space="preserve">EF Dairy Cattle </v>
      </c>
      <c r="F47" s="277"/>
      <c r="G47" s="278">
        <f>C47</f>
        <v>0</v>
      </c>
      <c r="H47" s="279"/>
      <c r="I47" s="263"/>
      <c r="J47" s="263"/>
      <c r="K47" s="264"/>
      <c r="L47" s="317"/>
      <c r="M47" s="327">
        <f>IFERROR(VLOOKUP(E47,'Carbon Factors'!$B$2:$H$471,5,FALSE),0)</f>
        <v>0</v>
      </c>
      <c r="N47" s="263"/>
      <c r="O47" s="264"/>
      <c r="P47" s="266">
        <f>G47*M47</f>
        <v>0</v>
      </c>
      <c r="Q47" s="262">
        <f>IFERROR(VLOOKUP(E47,'Carbon Factors'!$B$2:$K$471,9,FALSE),0)</f>
        <v>0</v>
      </c>
      <c r="R47" s="263"/>
      <c r="S47" s="263"/>
      <c r="T47" s="263"/>
      <c r="U47" s="263"/>
      <c r="V47" s="270">
        <f>P47+R47</f>
        <v>0</v>
      </c>
      <c r="W47" s="271">
        <f t="shared" ref="W47" si="30">Q47</f>
        <v>0</v>
      </c>
      <c r="X47" s="262">
        <f>V47</f>
        <v>0</v>
      </c>
      <c r="Y47" s="280"/>
      <c r="Z47" s="258">
        <f t="shared" ref="Z47" si="31">IFERROR(P47/V47,0)</f>
        <v>0</v>
      </c>
      <c r="AA47" s="579"/>
      <c r="AB47" s="257">
        <f>SUM(X47:X74)</f>
        <v>0</v>
      </c>
      <c r="AC47" s="257">
        <f>SUM(Y47:Y74)</f>
        <v>0</v>
      </c>
      <c r="AD47" s="257">
        <f>SUM(V47:V75)</f>
        <v>0</v>
      </c>
      <c r="AE47" s="258">
        <f>IFERROR(AB47/AD47,0)</f>
        <v>0</v>
      </c>
    </row>
    <row r="48" spans="1:31" ht="22" customHeight="1" x14ac:dyDescent="0.35">
      <c r="A48" s="259" t="s">
        <v>426</v>
      </c>
      <c r="B48" s="260" t="str" cm="1">
        <f t="array" ref="B48">IFERROR(_xlfn.IFS('1. tvēruma emisijas'!$G$84="YES", "YES", '1. tvēruma emisijas'!$G$84="Jah","YES", '1. tvēruma emisijas'!$G$84="Taip","YES",'1. tvēruma emisijas'!$G$84="Jā","YES"),"NO")</f>
        <v>NO</v>
      </c>
      <c r="C48" s="261">
        <f>IF(B48="YES",'1. tvēruma emisijas'!$E$96,0)</f>
        <v>0</v>
      </c>
      <c r="D48" s="262" t="s">
        <v>425</v>
      </c>
      <c r="E48" s="269" t="str">
        <f>A48&amp;" "&amp;Informācija!$F$12</f>
        <v xml:space="preserve">EF Non-dairy cattle </v>
      </c>
      <c r="F48" s="277"/>
      <c r="G48" s="278">
        <f t="shared" ref="G48:G54" si="32">C48</f>
        <v>0</v>
      </c>
      <c r="H48" s="279"/>
      <c r="I48" s="263"/>
      <c r="J48" s="263"/>
      <c r="K48" s="264"/>
      <c r="L48" s="317"/>
      <c r="M48" s="328">
        <f>IFERROR(VLOOKUP(E48,'Carbon Factors'!$B$2:$H$471,5,FALSE),0)</f>
        <v>0</v>
      </c>
      <c r="N48" s="263"/>
      <c r="O48" s="264"/>
      <c r="P48" s="266">
        <f t="shared" ref="P48:P70" si="33">G48*M48</f>
        <v>0</v>
      </c>
      <c r="Q48" s="262">
        <f>IFERROR(VLOOKUP(E48,'Carbon Factors'!$B$2:$K$471,9,FALSE),0)</f>
        <v>0</v>
      </c>
      <c r="R48" s="263"/>
      <c r="S48" s="263"/>
      <c r="T48" s="263"/>
      <c r="U48" s="263"/>
      <c r="V48" s="270">
        <f t="shared" ref="V48:V74" si="34">P48+R48</f>
        <v>0</v>
      </c>
      <c r="W48" s="271">
        <f t="shared" ref="W48:W74" si="35">Q48</f>
        <v>0</v>
      </c>
      <c r="X48" s="262">
        <f t="shared" ref="X48:X74" si="36">V48</f>
        <v>0</v>
      </c>
      <c r="Y48" s="280"/>
      <c r="Z48" s="258">
        <f t="shared" ref="Z48:Z75" si="37">IFERROR(P48/V48,0)</f>
        <v>0</v>
      </c>
    </row>
    <row r="49" spans="1:26" ht="22" customHeight="1" x14ac:dyDescent="0.35">
      <c r="A49" s="259" t="s">
        <v>427</v>
      </c>
      <c r="B49" s="260" t="str" cm="1">
        <f t="array" ref="B49">IFERROR(_xlfn.IFS('1. tvēruma emisijas'!$G$84="YES", "YES", '1. tvēruma emisijas'!$G$84="Jah","YES", '1. tvēruma emisijas'!$G$84="Taip","YES",'1. tvēruma emisijas'!$G$84="Jā","YES"),"NO")</f>
        <v>NO</v>
      </c>
      <c r="C49" s="261">
        <f>IF(B49="YES",'1. tvēruma emisijas'!$E$97,0)</f>
        <v>0</v>
      </c>
      <c r="D49" s="262" t="s">
        <v>425</v>
      </c>
      <c r="E49" s="269" t="str">
        <f>A49&amp;" "&amp;Informācija!$F$12</f>
        <v xml:space="preserve">EF Sheep </v>
      </c>
      <c r="F49" s="277"/>
      <c r="G49" s="278">
        <f t="shared" si="32"/>
        <v>0</v>
      </c>
      <c r="H49" s="279"/>
      <c r="I49" s="263"/>
      <c r="J49" s="263"/>
      <c r="K49" s="264"/>
      <c r="L49" s="317"/>
      <c r="M49" s="328">
        <f>IFERROR(VLOOKUP(E49,'Carbon Factors'!$B$2:$H$471,5,FALSE),0)</f>
        <v>0</v>
      </c>
      <c r="N49" s="263"/>
      <c r="O49" s="264"/>
      <c r="P49" s="266">
        <f t="shared" si="33"/>
        <v>0</v>
      </c>
      <c r="Q49" s="262">
        <f>IFERROR(VLOOKUP(E49,'Carbon Factors'!$B$2:$K$471,9,FALSE),0)</f>
        <v>0</v>
      </c>
      <c r="R49" s="263"/>
      <c r="S49" s="263"/>
      <c r="T49" s="263"/>
      <c r="U49" s="263"/>
      <c r="V49" s="270">
        <f t="shared" si="34"/>
        <v>0</v>
      </c>
      <c r="W49" s="271">
        <f t="shared" si="35"/>
        <v>0</v>
      </c>
      <c r="X49" s="262">
        <f t="shared" si="36"/>
        <v>0</v>
      </c>
      <c r="Y49" s="280"/>
      <c r="Z49" s="258">
        <f t="shared" si="37"/>
        <v>0</v>
      </c>
    </row>
    <row r="50" spans="1:26" ht="22" customHeight="1" x14ac:dyDescent="0.35">
      <c r="A50" s="259" t="s">
        <v>428</v>
      </c>
      <c r="B50" s="260" t="str" cm="1">
        <f t="array" ref="B50">IFERROR(_xlfn.IFS('1. tvēruma emisijas'!$G$84="YES", "YES", '1. tvēruma emisijas'!$G$84="Jah","YES", '1. tvēruma emisijas'!$G$84="Taip","YES",'1. tvēruma emisijas'!$G$84="Jā","YES"),"NO")</f>
        <v>NO</v>
      </c>
      <c r="C50" s="261">
        <f>IF(B50="YES",'1. tvēruma emisijas'!$E$98,0)</f>
        <v>0</v>
      </c>
      <c r="D50" s="262" t="s">
        <v>425</v>
      </c>
      <c r="E50" s="269" t="str">
        <f>A50&amp;" "&amp;Informācija!$F$12</f>
        <v xml:space="preserve">EF Swine </v>
      </c>
      <c r="F50" s="277"/>
      <c r="G50" s="278">
        <f t="shared" si="32"/>
        <v>0</v>
      </c>
      <c r="H50" s="279"/>
      <c r="I50" s="263"/>
      <c r="J50" s="263"/>
      <c r="K50" s="264"/>
      <c r="L50" s="317"/>
      <c r="M50" s="328">
        <f>IFERROR(VLOOKUP(E50,'Carbon Factors'!$B$2:$H$471,5,FALSE),0)</f>
        <v>0</v>
      </c>
      <c r="N50" s="263"/>
      <c r="O50" s="264"/>
      <c r="P50" s="266">
        <f t="shared" si="33"/>
        <v>0</v>
      </c>
      <c r="Q50" s="262">
        <f>IFERROR(VLOOKUP(E50,'Carbon Factors'!$B$2:$K$471,9,FALSE),0)</f>
        <v>0</v>
      </c>
      <c r="R50" s="263"/>
      <c r="S50" s="263"/>
      <c r="T50" s="263"/>
      <c r="U50" s="263"/>
      <c r="V50" s="270">
        <f t="shared" si="34"/>
        <v>0</v>
      </c>
      <c r="W50" s="271">
        <f t="shared" si="35"/>
        <v>0</v>
      </c>
      <c r="X50" s="262">
        <f t="shared" si="36"/>
        <v>0</v>
      </c>
      <c r="Y50" s="280"/>
      <c r="Z50" s="258">
        <f t="shared" si="37"/>
        <v>0</v>
      </c>
    </row>
    <row r="51" spans="1:26" ht="22" customHeight="1" x14ac:dyDescent="0.35">
      <c r="A51" s="259" t="s">
        <v>429</v>
      </c>
      <c r="B51" s="260" t="str" cm="1">
        <f t="array" ref="B51">IFERROR(_xlfn.IFS('1. tvēruma emisijas'!$G$84="YES", "YES", '1. tvēruma emisijas'!$G$84="Jah","YES", '1. tvēruma emisijas'!$G$84="Taip","YES",'1. tvēruma emisijas'!$G$84="Jā","YES"),"NO")</f>
        <v>NO</v>
      </c>
      <c r="C51" s="261">
        <f>IF(B51="YES",'1. tvēruma emisijas'!$E$99,0)</f>
        <v>0</v>
      </c>
      <c r="D51" s="262" t="s">
        <v>425</v>
      </c>
      <c r="E51" s="269" t="str">
        <f>A51&amp;" "&amp;Informācija!$F$12</f>
        <v xml:space="preserve">EF Goats </v>
      </c>
      <c r="F51" s="277"/>
      <c r="G51" s="278">
        <f>C51</f>
        <v>0</v>
      </c>
      <c r="H51" s="279"/>
      <c r="I51" s="263"/>
      <c r="J51" s="263"/>
      <c r="K51" s="264"/>
      <c r="L51" s="317"/>
      <c r="M51" s="328">
        <f>IFERROR(VLOOKUP(E51,'Carbon Factors'!$B$2:$H$471,5,FALSE),0)</f>
        <v>0</v>
      </c>
      <c r="N51" s="263"/>
      <c r="O51" s="264"/>
      <c r="P51" s="266">
        <f>G51*M51</f>
        <v>0</v>
      </c>
      <c r="Q51" s="262">
        <f>IFERROR(VLOOKUP(E51,'Carbon Factors'!$B$2:$K$471,9,FALSE),0)</f>
        <v>0</v>
      </c>
      <c r="R51" s="263"/>
      <c r="S51" s="263"/>
      <c r="T51" s="263"/>
      <c r="U51" s="263"/>
      <c r="V51" s="270">
        <f t="shared" si="34"/>
        <v>0</v>
      </c>
      <c r="W51" s="271">
        <f t="shared" si="35"/>
        <v>0</v>
      </c>
      <c r="X51" s="262">
        <f t="shared" si="36"/>
        <v>0</v>
      </c>
      <c r="Y51" s="280"/>
      <c r="Z51" s="258">
        <f t="shared" si="37"/>
        <v>0</v>
      </c>
    </row>
    <row r="52" spans="1:26" ht="22" customHeight="1" x14ac:dyDescent="0.35">
      <c r="A52" s="259" t="s">
        <v>430</v>
      </c>
      <c r="B52" s="260" t="str" cm="1">
        <f t="array" ref="B52">IFERROR(_xlfn.IFS('1. tvēruma emisijas'!$G$84="YES", "YES", '1. tvēruma emisijas'!$G$84="Jah","YES", '1. tvēruma emisijas'!$G$84="Taip","YES",'1. tvēruma emisijas'!$G$84="Jā","YES"),"NO")</f>
        <v>NO</v>
      </c>
      <c r="C52" s="261">
        <f>IF(B52="YES",'1. tvēruma emisijas'!$E$100,0)</f>
        <v>0</v>
      </c>
      <c r="D52" s="262" t="s">
        <v>425</v>
      </c>
      <c r="E52" s="269" t="str">
        <f>A52&amp;" "&amp;Informācija!$F$12</f>
        <v xml:space="preserve">EF Horses </v>
      </c>
      <c r="F52" s="277"/>
      <c r="G52" s="278">
        <f t="shared" si="32"/>
        <v>0</v>
      </c>
      <c r="H52" s="279"/>
      <c r="I52" s="263"/>
      <c r="J52" s="263"/>
      <c r="K52" s="264"/>
      <c r="L52" s="317"/>
      <c r="M52" s="328">
        <f>IFERROR(VLOOKUP(E52,'Carbon Factors'!$B$2:$H$471,5,FALSE),0)</f>
        <v>0</v>
      </c>
      <c r="N52" s="263"/>
      <c r="O52" s="264"/>
      <c r="P52" s="266">
        <f t="shared" si="33"/>
        <v>0</v>
      </c>
      <c r="Q52" s="262">
        <f>IFERROR(VLOOKUP(E52,'Carbon Factors'!$B$2:$K$471,9,FALSE),0)</f>
        <v>0</v>
      </c>
      <c r="R52" s="263"/>
      <c r="S52" s="263"/>
      <c r="T52" s="263"/>
      <c r="U52" s="263"/>
      <c r="V52" s="270">
        <f t="shared" si="34"/>
        <v>0</v>
      </c>
      <c r="W52" s="271">
        <f t="shared" si="35"/>
        <v>0</v>
      </c>
      <c r="X52" s="262">
        <f t="shared" si="36"/>
        <v>0</v>
      </c>
      <c r="Y52" s="280"/>
      <c r="Z52" s="258">
        <f t="shared" si="37"/>
        <v>0</v>
      </c>
    </row>
    <row r="53" spans="1:26" ht="22" customHeight="1" x14ac:dyDescent="0.35">
      <c r="A53" s="259" t="s">
        <v>431</v>
      </c>
      <c r="B53" s="260" t="str" cm="1">
        <f t="array" ref="B53">IFERROR(_xlfn.IFS('1. tvēruma emisijas'!$G$84="YES", "YES", '1. tvēruma emisijas'!$G$84="Jah","YES", '1. tvēruma emisijas'!$G$84="Taip","YES",'1. tvēruma emisijas'!$G$84="Jā","YES"),"NO")</f>
        <v>NO</v>
      </c>
      <c r="C53" s="261">
        <f>IF(B53="YES",'1. tvēruma emisijas'!$E$101,0)</f>
        <v>0</v>
      </c>
      <c r="D53" s="262" t="s">
        <v>425</v>
      </c>
      <c r="E53" s="269" t="str">
        <f>A53&amp;" "&amp;Informācija!$F$12</f>
        <v xml:space="preserve">EF Poultry </v>
      </c>
      <c r="F53" s="277"/>
      <c r="G53" s="278">
        <f t="shared" si="32"/>
        <v>0</v>
      </c>
      <c r="H53" s="279"/>
      <c r="I53" s="263"/>
      <c r="J53" s="263"/>
      <c r="K53" s="264"/>
      <c r="L53" s="317"/>
      <c r="M53" s="328">
        <f>IFERROR(VLOOKUP(E53,'Carbon Factors'!$B$2:$H$471,5,FALSE),0)</f>
        <v>0</v>
      </c>
      <c r="N53" s="263"/>
      <c r="O53" s="264"/>
      <c r="P53" s="266">
        <f t="shared" si="33"/>
        <v>0</v>
      </c>
      <c r="Q53" s="262">
        <f>IFERROR(VLOOKUP(E53,'Carbon Factors'!$B$2:$K$471,9,FALSE),0)</f>
        <v>0</v>
      </c>
      <c r="R53" s="263"/>
      <c r="S53" s="263"/>
      <c r="T53" s="263"/>
      <c r="U53" s="263"/>
      <c r="V53" s="270">
        <f t="shared" si="34"/>
        <v>0</v>
      </c>
      <c r="W53" s="271">
        <f t="shared" si="35"/>
        <v>0</v>
      </c>
      <c r="X53" s="262">
        <f t="shared" si="36"/>
        <v>0</v>
      </c>
      <c r="Y53" s="280"/>
      <c r="Z53" s="258">
        <f t="shared" si="37"/>
        <v>0</v>
      </c>
    </row>
    <row r="54" spans="1:26" ht="22" customHeight="1" x14ac:dyDescent="0.35">
      <c r="A54" s="259" t="s">
        <v>432</v>
      </c>
      <c r="B54" s="260" t="str" cm="1">
        <f t="array" ref="B54">IFERROR(_xlfn.IFS('1. tvēruma emisijas'!$G$84="YES", "YES", '1. tvēruma emisijas'!$G$84="Jah","YES", '1. tvēruma emisijas'!$G$84="Taip","YES",'1. tvēruma emisijas'!$G$84="Jā","YES"),"NO")</f>
        <v>NO</v>
      </c>
      <c r="C54" s="261">
        <f>IF(B54="YES",'1. tvēruma emisijas'!$E$102,0)</f>
        <v>0</v>
      </c>
      <c r="D54" s="262" t="s">
        <v>425</v>
      </c>
      <c r="E54" s="269" t="str">
        <f>A54&amp;" "&amp;Informācija!$F$12</f>
        <v xml:space="preserve">EF Rabbit </v>
      </c>
      <c r="F54" s="277"/>
      <c r="G54" s="278">
        <f t="shared" si="32"/>
        <v>0</v>
      </c>
      <c r="H54" s="279"/>
      <c r="I54" s="263"/>
      <c r="J54" s="263"/>
      <c r="K54" s="264"/>
      <c r="L54" s="317"/>
      <c r="M54" s="328">
        <f>IFERROR(VLOOKUP(E54,'Carbon Factors'!$B$2:$H$471,5,FALSE),0)</f>
        <v>0</v>
      </c>
      <c r="N54" s="263"/>
      <c r="O54" s="264"/>
      <c r="P54" s="266">
        <f t="shared" si="33"/>
        <v>0</v>
      </c>
      <c r="Q54" s="262">
        <f>IFERROR(VLOOKUP(E54,'Carbon Factors'!$B$2:$K$471,9,FALSE),0)</f>
        <v>0</v>
      </c>
      <c r="R54" s="263"/>
      <c r="S54" s="263"/>
      <c r="T54" s="263"/>
      <c r="U54" s="263"/>
      <c r="V54" s="270">
        <f t="shared" si="34"/>
        <v>0</v>
      </c>
      <c r="W54" s="271">
        <f t="shared" si="35"/>
        <v>0</v>
      </c>
      <c r="X54" s="262">
        <f t="shared" si="36"/>
        <v>0</v>
      </c>
      <c r="Y54" s="280"/>
      <c r="Z54" s="258">
        <f t="shared" si="37"/>
        <v>0</v>
      </c>
    </row>
    <row r="55" spans="1:26" ht="22" customHeight="1" x14ac:dyDescent="0.35">
      <c r="A55" s="259" t="s">
        <v>433</v>
      </c>
      <c r="B55" s="260" t="str" cm="1">
        <f t="array" ref="B55">IFERROR(_xlfn.IFS('1. tvēruma emisijas'!$G$84="YES", "YES", '1. tvēruma emisijas'!$G$84="Jah","YES", '1. tvēruma emisijas'!$G$84="Taip","YES",'1. tvēruma emisijas'!$G$84="Jā","YES"),"NO")</f>
        <v>NO</v>
      </c>
      <c r="C55" s="261">
        <f>IF(B55="YES",'1. tvēruma emisijas'!$E$95,0)</f>
        <v>0</v>
      </c>
      <c r="D55" s="262" t="s">
        <v>425</v>
      </c>
      <c r="E55" s="269" t="str">
        <f>A55&amp;" "&amp;Informācija!$F$12</f>
        <v xml:space="preserve">MM Dairy Cattle </v>
      </c>
      <c r="F55" s="281">
        <f>SUM('1. tvēruma emisijas'!G95:I95)</f>
        <v>0</v>
      </c>
      <c r="G55" s="278">
        <f>C55*(1-F55)</f>
        <v>0</v>
      </c>
      <c r="H55" s="279"/>
      <c r="I55" s="263"/>
      <c r="J55" s="263"/>
      <c r="K55" s="264"/>
      <c r="L55" s="317"/>
      <c r="M55" s="328">
        <f>IFERROR(VLOOKUP(E55,'Carbon Factors'!$B$2:$H$471,5,FALSE),0)</f>
        <v>0</v>
      </c>
      <c r="N55" s="263"/>
      <c r="O55" s="264"/>
      <c r="P55" s="266">
        <f t="shared" si="33"/>
        <v>0</v>
      </c>
      <c r="Q55" s="262">
        <f>IFERROR(VLOOKUP(E55,'Carbon Factors'!$B$2:$K$471,9,FALSE),0)</f>
        <v>0</v>
      </c>
      <c r="R55" s="263"/>
      <c r="S55" s="263"/>
      <c r="T55" s="263"/>
      <c r="U55" s="263"/>
      <c r="V55" s="270">
        <f t="shared" si="34"/>
        <v>0</v>
      </c>
      <c r="W55" s="271">
        <f t="shared" si="35"/>
        <v>0</v>
      </c>
      <c r="X55" s="262">
        <f t="shared" si="36"/>
        <v>0</v>
      </c>
      <c r="Y55" s="280"/>
      <c r="Z55" s="258">
        <f t="shared" si="37"/>
        <v>0</v>
      </c>
    </row>
    <row r="56" spans="1:26" ht="22" customHeight="1" x14ac:dyDescent="0.35">
      <c r="A56" s="259" t="s">
        <v>434</v>
      </c>
      <c r="B56" s="260" t="str" cm="1">
        <f t="array" ref="B56">IFERROR(_xlfn.IFS('1. tvēruma emisijas'!$G$84="YES", "YES", '1. tvēruma emisijas'!$G$84="Jah","YES", '1. tvēruma emisijas'!$G$84="Taip","YES",'1. tvēruma emisijas'!$G$84="Jā","YES"),"NO")</f>
        <v>NO</v>
      </c>
      <c r="C56" s="261">
        <f>IF(B56="YES",'1. tvēruma emisijas'!$E$96,0)</f>
        <v>0</v>
      </c>
      <c r="D56" s="262" t="s">
        <v>425</v>
      </c>
      <c r="E56" s="269" t="str">
        <f>A56&amp;" "&amp;Informācija!$F$12</f>
        <v xml:space="preserve">MM Non-dairy cattle </v>
      </c>
      <c r="F56" s="281">
        <f>SUM('1. tvēruma emisijas'!G96:I96)</f>
        <v>0</v>
      </c>
      <c r="G56" s="278">
        <f t="shared" ref="G56:G60" si="38">C56*(1-F56)</f>
        <v>0</v>
      </c>
      <c r="H56" s="279"/>
      <c r="I56" s="263"/>
      <c r="J56" s="263"/>
      <c r="K56" s="264"/>
      <c r="L56" s="317"/>
      <c r="M56" s="328">
        <f>IFERROR(VLOOKUP(E56,'Carbon Factors'!$B$2:$H$471,5,FALSE),0)</f>
        <v>0</v>
      </c>
      <c r="N56" s="263"/>
      <c r="O56" s="264"/>
      <c r="P56" s="266">
        <f t="shared" si="33"/>
        <v>0</v>
      </c>
      <c r="Q56" s="262">
        <f>IFERROR(VLOOKUP(E56,'Carbon Factors'!$B$2:$K$471,9,FALSE),0)</f>
        <v>0</v>
      </c>
      <c r="R56" s="263"/>
      <c r="S56" s="263"/>
      <c r="T56" s="263"/>
      <c r="U56" s="263"/>
      <c r="V56" s="270">
        <f t="shared" si="34"/>
        <v>0</v>
      </c>
      <c r="W56" s="271">
        <f t="shared" si="35"/>
        <v>0</v>
      </c>
      <c r="X56" s="262">
        <f t="shared" si="36"/>
        <v>0</v>
      </c>
      <c r="Y56" s="280"/>
      <c r="Z56" s="258">
        <f t="shared" si="37"/>
        <v>0</v>
      </c>
    </row>
    <row r="57" spans="1:26" ht="22" customHeight="1" x14ac:dyDescent="0.35">
      <c r="A57" s="259" t="s">
        <v>435</v>
      </c>
      <c r="B57" s="260" t="str" cm="1">
        <f t="array" ref="B57">IFERROR(_xlfn.IFS('1. tvēruma emisijas'!$G$84="YES", "YES", '1. tvēruma emisijas'!$G$84="Jah","YES", '1. tvēruma emisijas'!$G$84="Taip","YES",'1. tvēruma emisijas'!$G$84="Jā","YES"),"NO")</f>
        <v>NO</v>
      </c>
      <c r="C57" s="261">
        <f>IF(B57="YES",'1. tvēruma emisijas'!$E$97,0)</f>
        <v>0</v>
      </c>
      <c r="D57" s="262" t="s">
        <v>425</v>
      </c>
      <c r="E57" s="269" t="str">
        <f>A57&amp;" "&amp;Informācija!$F$12</f>
        <v xml:space="preserve">MM Sheep </v>
      </c>
      <c r="F57" s="281">
        <f>SUM('1. tvēruma emisijas'!G97:I97)</f>
        <v>0</v>
      </c>
      <c r="G57" s="278">
        <f t="shared" si="38"/>
        <v>0</v>
      </c>
      <c r="H57" s="279"/>
      <c r="I57" s="263"/>
      <c r="J57" s="263"/>
      <c r="K57" s="264"/>
      <c r="L57" s="317"/>
      <c r="M57" s="328">
        <f>IFERROR(VLOOKUP(E57,'Carbon Factors'!$B$2:$H$471,5,FALSE),0)</f>
        <v>0</v>
      </c>
      <c r="N57" s="263"/>
      <c r="O57" s="264"/>
      <c r="P57" s="266">
        <f t="shared" si="33"/>
        <v>0</v>
      </c>
      <c r="Q57" s="262">
        <f>IFERROR(VLOOKUP(E57,'Carbon Factors'!$B$2:$K$471,9,FALSE),0)</f>
        <v>0</v>
      </c>
      <c r="R57" s="263"/>
      <c r="S57" s="263"/>
      <c r="T57" s="263"/>
      <c r="U57" s="263"/>
      <c r="V57" s="270">
        <f t="shared" si="34"/>
        <v>0</v>
      </c>
      <c r="W57" s="271">
        <f t="shared" si="35"/>
        <v>0</v>
      </c>
      <c r="X57" s="262">
        <f t="shared" si="36"/>
        <v>0</v>
      </c>
      <c r="Y57" s="280"/>
      <c r="Z57" s="258">
        <f t="shared" si="37"/>
        <v>0</v>
      </c>
    </row>
    <row r="58" spans="1:26" ht="22" customHeight="1" x14ac:dyDescent="0.35">
      <c r="A58" s="259" t="s">
        <v>436</v>
      </c>
      <c r="B58" s="260" t="str" cm="1">
        <f t="array" ref="B58">IFERROR(_xlfn.IFS('1. tvēruma emisijas'!$G$84="YES", "YES", '1. tvēruma emisijas'!$G$84="Jah","YES", '1. tvēruma emisijas'!$G$84="Taip","YES",'1. tvēruma emisijas'!$G$84="Jā","YES"),"NO")</f>
        <v>NO</v>
      </c>
      <c r="C58" s="261">
        <f>IF(B58="YES",'1. tvēruma emisijas'!$E$98,0)</f>
        <v>0</v>
      </c>
      <c r="D58" s="262" t="s">
        <v>425</v>
      </c>
      <c r="E58" s="269" t="str">
        <f>A58&amp;" "&amp;Informācija!$F$12</f>
        <v xml:space="preserve">MM Swine </v>
      </c>
      <c r="F58" s="281">
        <f>SUM('1. tvēruma emisijas'!G98:I98)</f>
        <v>0</v>
      </c>
      <c r="G58" s="278">
        <f t="shared" si="38"/>
        <v>0</v>
      </c>
      <c r="H58" s="279"/>
      <c r="I58" s="263"/>
      <c r="J58" s="263"/>
      <c r="K58" s="264"/>
      <c r="L58" s="317"/>
      <c r="M58" s="328">
        <f>IFERROR(VLOOKUP(E58,'Carbon Factors'!$B$2:$H$471,5,FALSE),0)</f>
        <v>0</v>
      </c>
      <c r="N58" s="263"/>
      <c r="O58" s="264"/>
      <c r="P58" s="266">
        <f t="shared" si="33"/>
        <v>0</v>
      </c>
      <c r="Q58" s="262">
        <f>IFERROR(VLOOKUP(E58,'Carbon Factors'!$B$2:$K$471,9,FALSE),0)</f>
        <v>0</v>
      </c>
      <c r="R58" s="263"/>
      <c r="S58" s="263"/>
      <c r="T58" s="263"/>
      <c r="U58" s="263"/>
      <c r="V58" s="270">
        <f t="shared" si="34"/>
        <v>0</v>
      </c>
      <c r="W58" s="271">
        <f t="shared" si="35"/>
        <v>0</v>
      </c>
      <c r="X58" s="262">
        <f t="shared" si="36"/>
        <v>0</v>
      </c>
      <c r="Y58" s="280"/>
      <c r="Z58" s="258">
        <f t="shared" si="37"/>
        <v>0</v>
      </c>
    </row>
    <row r="59" spans="1:26" ht="22" customHeight="1" x14ac:dyDescent="0.35">
      <c r="A59" s="259" t="s">
        <v>437</v>
      </c>
      <c r="B59" s="260" t="str" cm="1">
        <f t="array" ref="B59">IFERROR(_xlfn.IFS('1. tvēruma emisijas'!$G$84="YES", "YES", '1. tvēruma emisijas'!$G$84="Jah","YES", '1. tvēruma emisijas'!$G$84="Taip","YES",'1. tvēruma emisijas'!$G$84="Jā","YES"),"NO")</f>
        <v>NO</v>
      </c>
      <c r="C59" s="261">
        <f>IF(B59="YES",'1. tvēruma emisijas'!$E$99,0)</f>
        <v>0</v>
      </c>
      <c r="D59" s="262" t="s">
        <v>425</v>
      </c>
      <c r="E59" s="269" t="str">
        <f>A59&amp;" "&amp;Informācija!$F$12</f>
        <v xml:space="preserve">MM Goats </v>
      </c>
      <c r="F59" s="281">
        <f>SUM('1. tvēruma emisijas'!G99:I99)</f>
        <v>0</v>
      </c>
      <c r="G59" s="278">
        <f t="shared" si="38"/>
        <v>0</v>
      </c>
      <c r="H59" s="279"/>
      <c r="I59" s="263"/>
      <c r="J59" s="263"/>
      <c r="K59" s="264"/>
      <c r="L59" s="317"/>
      <c r="M59" s="328">
        <f>IFERROR(VLOOKUP(E59,'Carbon Factors'!$B$2:$H$471,5,FALSE),0)</f>
        <v>0</v>
      </c>
      <c r="N59" s="263"/>
      <c r="O59" s="264"/>
      <c r="P59" s="266">
        <f t="shared" si="33"/>
        <v>0</v>
      </c>
      <c r="Q59" s="262">
        <f>IFERROR(VLOOKUP(E59,'Carbon Factors'!$B$2:$K$471,9,FALSE),0)</f>
        <v>0</v>
      </c>
      <c r="R59" s="263"/>
      <c r="S59" s="263"/>
      <c r="T59" s="263"/>
      <c r="U59" s="263"/>
      <c r="V59" s="270">
        <f t="shared" si="34"/>
        <v>0</v>
      </c>
      <c r="W59" s="271">
        <f t="shared" si="35"/>
        <v>0</v>
      </c>
      <c r="X59" s="262">
        <f t="shared" si="36"/>
        <v>0</v>
      </c>
      <c r="Y59" s="280"/>
      <c r="Z59" s="258">
        <f t="shared" si="37"/>
        <v>0</v>
      </c>
    </row>
    <row r="60" spans="1:26" ht="22" customHeight="1" x14ac:dyDescent="0.35">
      <c r="A60" s="259" t="s">
        <v>438</v>
      </c>
      <c r="B60" s="260" t="str" cm="1">
        <f t="array" ref="B60">IFERROR(_xlfn.IFS('1. tvēruma emisijas'!$G$84="YES", "YES", '1. tvēruma emisijas'!$G$84="Jah","YES", '1. tvēruma emisijas'!$G$84="Taip","YES",'1. tvēruma emisijas'!$G$84="Jā","YES"),"NO")</f>
        <v>NO</v>
      </c>
      <c r="C60" s="261">
        <f>IF(B60="YES",'1. tvēruma emisijas'!$E$100,0)</f>
        <v>0</v>
      </c>
      <c r="D60" s="262" t="s">
        <v>425</v>
      </c>
      <c r="E60" s="269" t="str">
        <f>A60&amp;" "&amp;Informācija!$F$12</f>
        <v xml:space="preserve">MM Horses </v>
      </c>
      <c r="F60" s="281">
        <f>SUM('1. tvēruma emisijas'!G100:I100)</f>
        <v>0</v>
      </c>
      <c r="G60" s="278">
        <f t="shared" si="38"/>
        <v>0</v>
      </c>
      <c r="H60" s="279"/>
      <c r="I60" s="263"/>
      <c r="J60" s="263"/>
      <c r="K60" s="264"/>
      <c r="L60" s="317"/>
      <c r="M60" s="328">
        <f>IFERROR(VLOOKUP(E60,'Carbon Factors'!$B$2:$H$471,5,FALSE),0)</f>
        <v>0</v>
      </c>
      <c r="N60" s="263"/>
      <c r="O60" s="264"/>
      <c r="P60" s="266">
        <f>G60*M60</f>
        <v>0</v>
      </c>
      <c r="Q60" s="262">
        <f>IFERROR(VLOOKUP(E60,'Carbon Factors'!$B$2:$K$471,9,FALSE),0)</f>
        <v>0</v>
      </c>
      <c r="R60" s="263"/>
      <c r="S60" s="263"/>
      <c r="T60" s="263"/>
      <c r="U60" s="263"/>
      <c r="V60" s="270">
        <f t="shared" si="34"/>
        <v>0</v>
      </c>
      <c r="W60" s="271">
        <f t="shared" si="35"/>
        <v>0</v>
      </c>
      <c r="X60" s="262">
        <f t="shared" si="36"/>
        <v>0</v>
      </c>
      <c r="Y60" s="280"/>
      <c r="Z60" s="258">
        <f t="shared" si="37"/>
        <v>0</v>
      </c>
    </row>
    <row r="61" spans="1:26" ht="22" customHeight="1" x14ac:dyDescent="0.35">
      <c r="A61" s="259" t="s">
        <v>439</v>
      </c>
      <c r="B61" s="260" t="str" cm="1">
        <f t="array" ref="B61">IFERROR(_xlfn.IFS('1. tvēruma emisijas'!$G$84="YES", "YES", '1. tvēruma emisijas'!$G$84="Jah","YES", '1. tvēruma emisijas'!$G$84="Taip","YES",'1. tvēruma emisijas'!$G$84="Jā","YES"),"NO")</f>
        <v>NO</v>
      </c>
      <c r="C61" s="261">
        <f>IF(B61="YES",'1. tvēruma emisijas'!$E$101,0)</f>
        <v>0</v>
      </c>
      <c r="D61" s="262" t="s">
        <v>425</v>
      </c>
      <c r="E61" s="269" t="str">
        <f>A61&amp;" "&amp;Informācija!$F$12</f>
        <v xml:space="preserve">MM Poultry </v>
      </c>
      <c r="F61" s="281">
        <f>SUM('1. tvēruma emisijas'!G101:I101)</f>
        <v>0</v>
      </c>
      <c r="G61" s="278">
        <f>C61*(1-F61)</f>
        <v>0</v>
      </c>
      <c r="H61" s="279"/>
      <c r="I61" s="263"/>
      <c r="J61" s="263"/>
      <c r="K61" s="264"/>
      <c r="L61" s="317"/>
      <c r="M61" s="328">
        <f>IFERROR(VLOOKUP(E61,'Carbon Factors'!$B$2:$H$471,5,FALSE),0)</f>
        <v>0</v>
      </c>
      <c r="N61" s="263"/>
      <c r="O61" s="264"/>
      <c r="P61" s="266">
        <f t="shared" si="33"/>
        <v>0</v>
      </c>
      <c r="Q61" s="262">
        <f>IFERROR(VLOOKUP(E61,'Carbon Factors'!$B$2:$K$471,9,FALSE),0)</f>
        <v>0</v>
      </c>
      <c r="R61" s="263"/>
      <c r="S61" s="263"/>
      <c r="T61" s="263"/>
      <c r="U61" s="263"/>
      <c r="V61" s="270">
        <f t="shared" si="34"/>
        <v>0</v>
      </c>
      <c r="W61" s="271">
        <f t="shared" si="35"/>
        <v>0</v>
      </c>
      <c r="X61" s="262">
        <f t="shared" si="36"/>
        <v>0</v>
      </c>
      <c r="Y61" s="280"/>
      <c r="Z61" s="258">
        <f t="shared" si="37"/>
        <v>0</v>
      </c>
    </row>
    <row r="62" spans="1:26" ht="22" customHeight="1" x14ac:dyDescent="0.35">
      <c r="A62" s="259" t="s">
        <v>440</v>
      </c>
      <c r="B62" s="260" t="str" cm="1">
        <f t="array" ref="B62">IFERROR(_xlfn.IFS('1. tvēruma emisijas'!$G$84="YES", "YES", '1. tvēruma emisijas'!$G$84="Jah","YES", '1. tvēruma emisijas'!$G$84="Taip","YES",'1. tvēruma emisijas'!$G$84="Jā","YES"),"NO")</f>
        <v>NO</v>
      </c>
      <c r="C62" s="261">
        <f>IF(B62="YES",'1. tvēruma emisijas'!$E$102,0)</f>
        <v>0</v>
      </c>
      <c r="D62" s="262" t="s">
        <v>425</v>
      </c>
      <c r="E62" s="269" t="str">
        <f>A62&amp;" "&amp;Informācija!$F$12</f>
        <v xml:space="preserve">MM Rabbit </v>
      </c>
      <c r="F62" s="281">
        <f>SUM('1. tvēruma emisijas'!G102:I102)</f>
        <v>0</v>
      </c>
      <c r="G62" s="278">
        <f>C62*(1-F62)</f>
        <v>0</v>
      </c>
      <c r="H62" s="279"/>
      <c r="I62" s="263"/>
      <c r="J62" s="263"/>
      <c r="K62" s="264"/>
      <c r="L62" s="317"/>
      <c r="M62" s="328">
        <f>IFERROR(VLOOKUP(E62,'Carbon Factors'!$B$2:$H$471,5,FALSE),0)</f>
        <v>0</v>
      </c>
      <c r="N62" s="263"/>
      <c r="O62" s="264"/>
      <c r="P62" s="266">
        <f>G62*M62</f>
        <v>0</v>
      </c>
      <c r="Q62" s="262">
        <f>IFERROR(VLOOKUP(E62,'Carbon Factors'!$B$2:$K$471,9,FALSE),0)</f>
        <v>0</v>
      </c>
      <c r="R62" s="263"/>
      <c r="S62" s="263"/>
      <c r="T62" s="263"/>
      <c r="U62" s="263"/>
      <c r="V62" s="270">
        <f t="shared" si="34"/>
        <v>0</v>
      </c>
      <c r="W62" s="271">
        <f t="shared" si="35"/>
        <v>0</v>
      </c>
      <c r="X62" s="262">
        <f t="shared" si="36"/>
        <v>0</v>
      </c>
      <c r="Y62" s="280"/>
      <c r="Z62" s="258">
        <f t="shared" si="37"/>
        <v>0</v>
      </c>
    </row>
    <row r="63" spans="1:26" ht="22" customHeight="1" x14ac:dyDescent="0.35">
      <c r="A63" s="259" t="s">
        <v>441</v>
      </c>
      <c r="B63" s="260" t="str" cm="1">
        <f t="array" ref="B63">IFERROR(_xlfn.IFS('1. tvēruma emisijas'!$G$84="YES", "YES", '1. tvēruma emisijas'!$G$84="Jah","YES", '1. tvēruma emisijas'!$G$84="Taip","YES",'1. tvēruma emisijas'!$G$84="Jā","YES"),"NO")</f>
        <v>NO</v>
      </c>
      <c r="C63" s="261">
        <f>IF(B63="YES",'1. tvēruma emisijas'!$E$95,0)</f>
        <v>0</v>
      </c>
      <c r="D63" s="262" t="s">
        <v>425</v>
      </c>
      <c r="E63" s="269" t="str">
        <f>A63&amp;" "&amp;Informācija!$F$12</f>
        <v xml:space="preserve">AS Dairy Cattle </v>
      </c>
      <c r="F63" s="281">
        <f>SUM('1. tvēruma emisijas'!G95:I95)</f>
        <v>0</v>
      </c>
      <c r="G63" s="278">
        <f>C63*F63</f>
        <v>0</v>
      </c>
      <c r="H63" s="279"/>
      <c r="I63" s="263"/>
      <c r="J63" s="263"/>
      <c r="K63" s="264"/>
      <c r="L63" s="317"/>
      <c r="M63" s="328">
        <f>IFERROR(VLOOKUP(E63,'Carbon Factors'!$B$2:$H$471,5,FALSE),0)</f>
        <v>0</v>
      </c>
      <c r="N63" s="263"/>
      <c r="O63" s="264"/>
      <c r="P63" s="266">
        <f t="shared" si="33"/>
        <v>0</v>
      </c>
      <c r="Q63" s="262">
        <f>IFERROR(VLOOKUP(E63,'Carbon Factors'!$B$2:$K$471,9,FALSE),0)</f>
        <v>0</v>
      </c>
      <c r="R63" s="263"/>
      <c r="S63" s="263"/>
      <c r="T63" s="263"/>
      <c r="U63" s="263"/>
      <c r="V63" s="270">
        <f t="shared" si="34"/>
        <v>0</v>
      </c>
      <c r="W63" s="271">
        <f t="shared" si="35"/>
        <v>0</v>
      </c>
      <c r="X63" s="262">
        <f t="shared" si="36"/>
        <v>0</v>
      </c>
      <c r="Y63" s="280"/>
      <c r="Z63" s="258">
        <f t="shared" si="37"/>
        <v>0</v>
      </c>
    </row>
    <row r="64" spans="1:26" ht="22" customHeight="1" x14ac:dyDescent="0.35">
      <c r="A64" s="259" t="s">
        <v>442</v>
      </c>
      <c r="B64" s="260" t="str" cm="1">
        <f t="array" ref="B64">IFERROR(_xlfn.IFS('1. tvēruma emisijas'!$G$84="YES", "YES", '1. tvēruma emisijas'!$G$84="Jah","YES", '1. tvēruma emisijas'!$G$84="Taip","YES",'1. tvēruma emisijas'!$G$84="Jā","YES"),"NO")</f>
        <v>NO</v>
      </c>
      <c r="C64" s="261">
        <f>IF(B64="YES",'1. tvēruma emisijas'!$E$96,0)</f>
        <v>0</v>
      </c>
      <c r="D64" s="262" t="s">
        <v>425</v>
      </c>
      <c r="E64" s="269" t="str">
        <f>A64&amp;" "&amp;Informācija!$F$12</f>
        <v xml:space="preserve">AS Non-diary cattle </v>
      </c>
      <c r="F64" s="281">
        <f>SUM('1. tvēruma emisijas'!G96:I96)</f>
        <v>0</v>
      </c>
      <c r="G64" s="278">
        <f t="shared" ref="G64:G70" si="39">C64*F64</f>
        <v>0</v>
      </c>
      <c r="H64" s="279"/>
      <c r="I64" s="263"/>
      <c r="J64" s="263"/>
      <c r="K64" s="264"/>
      <c r="L64" s="317"/>
      <c r="M64" s="328">
        <f>IFERROR(VLOOKUP(E64,'Carbon Factors'!$B$2:$H$471,5,FALSE),0)</f>
        <v>0</v>
      </c>
      <c r="N64" s="263"/>
      <c r="O64" s="264"/>
      <c r="P64" s="266">
        <f t="shared" si="33"/>
        <v>0</v>
      </c>
      <c r="Q64" s="262">
        <f>IFERROR(VLOOKUP(E64,'Carbon Factors'!$B$2:$K$471,9,FALSE),0)</f>
        <v>0</v>
      </c>
      <c r="R64" s="263"/>
      <c r="S64" s="263"/>
      <c r="T64" s="263"/>
      <c r="U64" s="263"/>
      <c r="V64" s="270">
        <f t="shared" si="34"/>
        <v>0</v>
      </c>
      <c r="W64" s="271">
        <f t="shared" si="35"/>
        <v>0</v>
      </c>
      <c r="X64" s="262">
        <f t="shared" si="36"/>
        <v>0</v>
      </c>
      <c r="Y64" s="280"/>
      <c r="Z64" s="258">
        <f t="shared" si="37"/>
        <v>0</v>
      </c>
    </row>
    <row r="65" spans="1:31" ht="22" customHeight="1" x14ac:dyDescent="0.35">
      <c r="A65" s="259" t="s">
        <v>443</v>
      </c>
      <c r="B65" s="260" t="str" cm="1">
        <f t="array" ref="B65">IFERROR(_xlfn.IFS('1. tvēruma emisijas'!$G$84="YES", "YES", '1. tvēruma emisijas'!$G$84="Jah","YES", '1. tvēruma emisijas'!$G$84="Taip","YES",'1. tvēruma emisijas'!$G$84="Jā","YES"),"NO")</f>
        <v>NO</v>
      </c>
      <c r="C65" s="261">
        <f>IF(B65="YES",'1. tvēruma emisijas'!$E$97,0)</f>
        <v>0</v>
      </c>
      <c r="D65" s="262" t="s">
        <v>425</v>
      </c>
      <c r="E65" s="269" t="str">
        <f>A65&amp;" "&amp;Informācija!$F$12</f>
        <v xml:space="preserve">AS Sheep </v>
      </c>
      <c r="F65" s="281">
        <f>SUM('1. tvēruma emisijas'!G97:I97)</f>
        <v>0</v>
      </c>
      <c r="G65" s="278">
        <f t="shared" si="39"/>
        <v>0</v>
      </c>
      <c r="H65" s="279"/>
      <c r="I65" s="263"/>
      <c r="J65" s="263"/>
      <c r="K65" s="264"/>
      <c r="L65" s="317"/>
      <c r="M65" s="328">
        <f>IFERROR(VLOOKUP(E65,'Carbon Factors'!$B$2:$H$471,5,FALSE),0)</f>
        <v>0</v>
      </c>
      <c r="N65" s="263"/>
      <c r="O65" s="264"/>
      <c r="P65" s="266">
        <f t="shared" si="33"/>
        <v>0</v>
      </c>
      <c r="Q65" s="262">
        <f>IFERROR(VLOOKUP(E65,'Carbon Factors'!$B$2:$K$471,9,FALSE),0)</f>
        <v>0</v>
      </c>
      <c r="R65" s="263"/>
      <c r="S65" s="263"/>
      <c r="T65" s="263"/>
      <c r="U65" s="263"/>
      <c r="V65" s="270">
        <f t="shared" si="34"/>
        <v>0</v>
      </c>
      <c r="W65" s="271">
        <f t="shared" si="35"/>
        <v>0</v>
      </c>
      <c r="X65" s="262">
        <f t="shared" si="36"/>
        <v>0</v>
      </c>
      <c r="Y65" s="280"/>
      <c r="Z65" s="258">
        <f t="shared" si="37"/>
        <v>0</v>
      </c>
    </row>
    <row r="66" spans="1:31" ht="22" customHeight="1" x14ac:dyDescent="0.35">
      <c r="A66" s="259" t="s">
        <v>444</v>
      </c>
      <c r="B66" s="260" t="str" cm="1">
        <f t="array" ref="B66">IFERROR(_xlfn.IFS('1. tvēruma emisijas'!$G$84="YES", "YES", '1. tvēruma emisijas'!$G$84="Jah","YES", '1. tvēruma emisijas'!$G$84="Taip","YES",'1. tvēruma emisijas'!$G$84="Jā","YES"),"NO")</f>
        <v>NO</v>
      </c>
      <c r="C66" s="261">
        <f>IF(B66="YES",'1. tvēruma emisijas'!$E$98,0)</f>
        <v>0</v>
      </c>
      <c r="D66" s="262" t="s">
        <v>425</v>
      </c>
      <c r="E66" s="269" t="str">
        <f>A66&amp;" "&amp;Informācija!$F$12</f>
        <v xml:space="preserve">AS Rabbit </v>
      </c>
      <c r="F66" s="281">
        <f>SUM('1. tvēruma emisijas'!G98:I98)</f>
        <v>0</v>
      </c>
      <c r="G66" s="278">
        <f>C66*F66</f>
        <v>0</v>
      </c>
      <c r="H66" s="279"/>
      <c r="I66" s="263"/>
      <c r="J66" s="263"/>
      <c r="K66" s="264"/>
      <c r="L66" s="317"/>
      <c r="M66" s="328">
        <f>IFERROR(VLOOKUP(E66,'Carbon Factors'!$B$2:$H$471,5,FALSE),0)</f>
        <v>0</v>
      </c>
      <c r="N66" s="263"/>
      <c r="O66" s="264"/>
      <c r="P66" s="266">
        <f t="shared" si="33"/>
        <v>0</v>
      </c>
      <c r="Q66" s="262">
        <f>IFERROR(VLOOKUP(E66,'Carbon Factors'!$B$2:$K$471,9,FALSE),0)</f>
        <v>0</v>
      </c>
      <c r="R66" s="263"/>
      <c r="S66" s="263"/>
      <c r="T66" s="263"/>
      <c r="U66" s="263"/>
      <c r="V66" s="270">
        <f t="shared" si="34"/>
        <v>0</v>
      </c>
      <c r="W66" s="271">
        <f t="shared" si="35"/>
        <v>0</v>
      </c>
      <c r="X66" s="262">
        <f t="shared" si="36"/>
        <v>0</v>
      </c>
      <c r="Y66" s="280"/>
      <c r="Z66" s="258">
        <f t="shared" si="37"/>
        <v>0</v>
      </c>
    </row>
    <row r="67" spans="1:31" ht="22" customHeight="1" x14ac:dyDescent="0.35">
      <c r="A67" s="259" t="s">
        <v>445</v>
      </c>
      <c r="B67" s="260" t="str" cm="1">
        <f t="array" ref="B67">IFERROR(_xlfn.IFS('1. tvēruma emisijas'!$G$84="YES", "YES", '1. tvēruma emisijas'!$G$84="Jah","YES", '1. tvēruma emisijas'!$G$84="Taip","YES",'1. tvēruma emisijas'!$G$84="Jā","YES"),"NO")</f>
        <v>NO</v>
      </c>
      <c r="C67" s="261">
        <f>IF(B67="YES",'1. tvēruma emisijas'!$E$99,0)</f>
        <v>0</v>
      </c>
      <c r="D67" s="262" t="s">
        <v>425</v>
      </c>
      <c r="E67" s="269" t="str">
        <f>A67&amp;" "&amp;Informācija!$F$12</f>
        <v xml:space="preserve">AS Swine </v>
      </c>
      <c r="F67" s="281">
        <f>SUM('1. tvēruma emisijas'!G99:I99)</f>
        <v>0</v>
      </c>
      <c r="G67" s="278">
        <f t="shared" si="39"/>
        <v>0</v>
      </c>
      <c r="H67" s="279"/>
      <c r="I67" s="263"/>
      <c r="J67" s="263"/>
      <c r="K67" s="264"/>
      <c r="L67" s="317"/>
      <c r="M67" s="328">
        <f>IFERROR(VLOOKUP(E67,'Carbon Factors'!$B$2:$H$471,5,FALSE),0)</f>
        <v>0</v>
      </c>
      <c r="N67" s="263"/>
      <c r="O67" s="264"/>
      <c r="P67" s="266">
        <f t="shared" si="33"/>
        <v>0</v>
      </c>
      <c r="Q67" s="262">
        <f>IFERROR(VLOOKUP(E67,'Carbon Factors'!$B$2:$K$471,9,FALSE),0)</f>
        <v>0</v>
      </c>
      <c r="R67" s="263"/>
      <c r="S67" s="263"/>
      <c r="T67" s="263"/>
      <c r="U67" s="263"/>
      <c r="V67" s="270">
        <f t="shared" si="34"/>
        <v>0</v>
      </c>
      <c r="W67" s="271">
        <f t="shared" si="35"/>
        <v>0</v>
      </c>
      <c r="X67" s="262">
        <f t="shared" si="36"/>
        <v>0</v>
      </c>
      <c r="Y67" s="280"/>
      <c r="Z67" s="258">
        <f t="shared" si="37"/>
        <v>0</v>
      </c>
    </row>
    <row r="68" spans="1:31" ht="22" customHeight="1" x14ac:dyDescent="0.35">
      <c r="A68" s="259" t="s">
        <v>446</v>
      </c>
      <c r="B68" s="260" t="str" cm="1">
        <f t="array" ref="B68">IFERROR(_xlfn.IFS('1. tvēruma emisijas'!$G$84="YES", "YES", '1. tvēruma emisijas'!$G$84="Jah","YES", '1. tvēruma emisijas'!$G$84="Taip","YES",'1. tvēruma emisijas'!$G$84="Jā","YES"),"NO")</f>
        <v>NO</v>
      </c>
      <c r="C68" s="261">
        <f>IF(B68="YES",'1. tvēruma emisijas'!$E$100,0)</f>
        <v>0</v>
      </c>
      <c r="D68" s="262" t="s">
        <v>425</v>
      </c>
      <c r="E68" s="269" t="str">
        <f>A68&amp;" "&amp;Informācija!$F$12</f>
        <v xml:space="preserve">AS Goats </v>
      </c>
      <c r="F68" s="281">
        <f>SUM('1. tvēruma emisijas'!G100:I100)</f>
        <v>0</v>
      </c>
      <c r="G68" s="278">
        <f t="shared" si="39"/>
        <v>0</v>
      </c>
      <c r="H68" s="279"/>
      <c r="I68" s="263"/>
      <c r="J68" s="263"/>
      <c r="K68" s="264"/>
      <c r="L68" s="317"/>
      <c r="M68" s="328">
        <f>IFERROR(VLOOKUP(E68,'Carbon Factors'!$B$2:$H$471,5,FALSE),0)</f>
        <v>0</v>
      </c>
      <c r="N68" s="263"/>
      <c r="O68" s="264"/>
      <c r="P68" s="266">
        <f t="shared" si="33"/>
        <v>0</v>
      </c>
      <c r="Q68" s="262">
        <f>IFERROR(VLOOKUP(E68,'Carbon Factors'!$B$2:$K$471,9,FALSE),0)</f>
        <v>0</v>
      </c>
      <c r="R68" s="263"/>
      <c r="S68" s="263"/>
      <c r="T68" s="263"/>
      <c r="U68" s="263"/>
      <c r="V68" s="270">
        <f t="shared" si="34"/>
        <v>0</v>
      </c>
      <c r="W68" s="271">
        <f t="shared" si="35"/>
        <v>0</v>
      </c>
      <c r="X68" s="262">
        <f t="shared" si="36"/>
        <v>0</v>
      </c>
      <c r="Y68" s="280"/>
      <c r="Z68" s="258">
        <f t="shared" si="37"/>
        <v>0</v>
      </c>
    </row>
    <row r="69" spans="1:31" ht="22" customHeight="1" x14ac:dyDescent="0.35">
      <c r="A69" s="259" t="s">
        <v>447</v>
      </c>
      <c r="B69" s="260" t="str" cm="1">
        <f t="array" ref="B69">IFERROR(_xlfn.IFS('1. tvēruma emisijas'!$G$84="YES", "YES", '1. tvēruma emisijas'!$G$84="Jah","YES", '1. tvēruma emisijas'!$G$84="Taip","YES",'1. tvēruma emisijas'!$G$84="Jā","YES"),"NO")</f>
        <v>NO</v>
      </c>
      <c r="C69" s="261">
        <f>IF(B69="YES",'1. tvēruma emisijas'!$E$101,0)</f>
        <v>0</v>
      </c>
      <c r="D69" s="262" t="s">
        <v>425</v>
      </c>
      <c r="E69" s="269" t="str">
        <f>A69&amp;" "&amp;Informācija!$F$12</f>
        <v xml:space="preserve">AS Horses </v>
      </c>
      <c r="F69" s="281">
        <f>SUM('1. tvēruma emisijas'!G101:I101)</f>
        <v>0</v>
      </c>
      <c r="G69" s="278">
        <f t="shared" si="39"/>
        <v>0</v>
      </c>
      <c r="H69" s="279"/>
      <c r="I69" s="263"/>
      <c r="J69" s="263"/>
      <c r="K69" s="264"/>
      <c r="L69" s="317"/>
      <c r="M69" s="328">
        <f>IFERROR(VLOOKUP(E69,'Carbon Factors'!$B$2:$H$471,5,FALSE),0)</f>
        <v>0</v>
      </c>
      <c r="N69" s="263"/>
      <c r="O69" s="264"/>
      <c r="P69" s="266">
        <f t="shared" si="33"/>
        <v>0</v>
      </c>
      <c r="Q69" s="262">
        <f>IFERROR(VLOOKUP(E69,'Carbon Factors'!$B$2:$K$471,9,FALSE),0)</f>
        <v>0</v>
      </c>
      <c r="R69" s="263"/>
      <c r="S69" s="263"/>
      <c r="T69" s="263"/>
      <c r="U69" s="263"/>
      <c r="V69" s="270">
        <f t="shared" si="34"/>
        <v>0</v>
      </c>
      <c r="W69" s="271">
        <f t="shared" si="35"/>
        <v>0</v>
      </c>
      <c r="X69" s="262">
        <f t="shared" si="36"/>
        <v>0</v>
      </c>
      <c r="Y69" s="280"/>
      <c r="Z69" s="258">
        <f t="shared" si="37"/>
        <v>0</v>
      </c>
    </row>
    <row r="70" spans="1:31" ht="22" customHeight="1" x14ac:dyDescent="0.35">
      <c r="A70" s="259" t="s">
        <v>448</v>
      </c>
      <c r="B70" s="260" t="str" cm="1">
        <f t="array" ref="B70">IFERROR(_xlfn.IFS('1. tvēruma emisijas'!$G$84="YES", "YES", '1. tvēruma emisijas'!$G$84="Jah","YES", '1. tvēruma emisijas'!$G$84="Taip","YES",'1. tvēruma emisijas'!$G$84="Jā","YES"),"NO")</f>
        <v>NO</v>
      </c>
      <c r="C70" s="261">
        <f>IF(B70="YES",'1. tvēruma emisijas'!$E$102,0)</f>
        <v>0</v>
      </c>
      <c r="D70" s="262" t="s">
        <v>425</v>
      </c>
      <c r="E70" s="269" t="str">
        <f>A70&amp;" "&amp;Informācija!$F$12</f>
        <v xml:space="preserve">AS Poultry </v>
      </c>
      <c r="F70" s="281">
        <f>SUM('1. tvēruma emisijas'!G102:I102)</f>
        <v>0</v>
      </c>
      <c r="G70" s="282">
        <f t="shared" si="39"/>
        <v>0</v>
      </c>
      <c r="H70" s="279"/>
      <c r="I70" s="263"/>
      <c r="J70" s="263"/>
      <c r="K70" s="264"/>
      <c r="L70" s="317"/>
      <c r="M70" s="328">
        <f>IFERROR(VLOOKUP(E70,'Carbon Factors'!$B$2:$H$471,5,FALSE),0)</f>
        <v>0</v>
      </c>
      <c r="N70" s="263"/>
      <c r="O70" s="264"/>
      <c r="P70" s="266">
        <f t="shared" si="33"/>
        <v>0</v>
      </c>
      <c r="Q70" s="262">
        <f>IFERROR(VLOOKUP(E70,'Carbon Factors'!$B$2:$K$471,9,FALSE),0)</f>
        <v>0</v>
      </c>
      <c r="R70" s="263"/>
      <c r="S70" s="263"/>
      <c r="T70" s="263"/>
      <c r="U70" s="263"/>
      <c r="V70" s="270">
        <f t="shared" si="34"/>
        <v>0</v>
      </c>
      <c r="W70" s="271">
        <f t="shared" si="35"/>
        <v>0</v>
      </c>
      <c r="X70" s="262">
        <f t="shared" si="36"/>
        <v>0</v>
      </c>
      <c r="Y70" s="280"/>
      <c r="Z70" s="258">
        <f t="shared" si="37"/>
        <v>0</v>
      </c>
    </row>
    <row r="71" spans="1:31" ht="22" customHeight="1" x14ac:dyDescent="0.35">
      <c r="A71" s="259" t="s">
        <v>449</v>
      </c>
      <c r="B71" s="260" t="str" cm="1">
        <f t="array" ref="B71">IFERROR(_xlfn.IFS('1. tvēruma emisijas'!$G$84="YES", "YES", '1. tvēruma emisijas'!$G$84="Jah","YES", '1. tvēruma emisijas'!$G$84="Taip","YES",'1. tvēruma emisijas'!$G$84="Jā","YES"),"NO")</f>
        <v>NO</v>
      </c>
      <c r="C71" s="261">
        <f>IF(B71="YES", '1. tvēruma emisijas'!F109, 0)</f>
        <v>0</v>
      </c>
      <c r="D71" s="262">
        <f>'1. tvēruma emisijas'!G109</f>
        <v>0</v>
      </c>
      <c r="E71" s="262" t="str">
        <f>A71&amp;" "&amp;Informācija!$F$12</f>
        <v xml:space="preserve">Inorganic Nitrogen fertilizers </v>
      </c>
      <c r="F71" s="277"/>
      <c r="G71" s="282">
        <f>C71*IF(D71="t",1000,1)</f>
        <v>0</v>
      </c>
      <c r="H71" s="263"/>
      <c r="I71" s="263"/>
      <c r="J71" s="263"/>
      <c r="K71" s="264"/>
      <c r="L71" s="317"/>
      <c r="M71" s="328">
        <f>IFERROR(VLOOKUP(E71,'Carbon Factors'!$B$2:$H$471,5,FALSE),0)</f>
        <v>0</v>
      </c>
      <c r="N71" s="263"/>
      <c r="O71" s="264"/>
      <c r="P71" s="266">
        <f t="shared" ref="P71:P74" si="40">G71*M71</f>
        <v>0</v>
      </c>
      <c r="Q71" s="262">
        <f>IFERROR(VLOOKUP(E71,'Carbon Factors'!$B$2:$K$471,9,FALSE),0)</f>
        <v>0</v>
      </c>
      <c r="R71" s="263"/>
      <c r="S71" s="263"/>
      <c r="T71" s="263"/>
      <c r="U71" s="263"/>
      <c r="V71" s="270">
        <f t="shared" si="34"/>
        <v>0</v>
      </c>
      <c r="W71" s="271">
        <f t="shared" si="35"/>
        <v>0</v>
      </c>
      <c r="X71" s="262">
        <f t="shared" si="36"/>
        <v>0</v>
      </c>
      <c r="Y71" s="280"/>
      <c r="Z71" s="258">
        <f t="shared" si="37"/>
        <v>0</v>
      </c>
    </row>
    <row r="72" spans="1:31" ht="22" customHeight="1" x14ac:dyDescent="0.35">
      <c r="A72" s="259" t="s">
        <v>450</v>
      </c>
      <c r="B72" s="260" t="str" cm="1">
        <f t="array" ref="B72">IFERROR(_xlfn.IFS('1. tvēruma emisijas'!$G$84="YES", "YES", '1. tvēruma emisijas'!$G$84="Jah","YES", '1. tvēruma emisijas'!$G$84="Taip","YES",'1. tvēruma emisijas'!$G$84="Jā","YES"),"NO")</f>
        <v>NO</v>
      </c>
      <c r="C72" s="261">
        <f>IF(B72="YES", '1. tvēruma emisijas'!F110, 0)</f>
        <v>0</v>
      </c>
      <c r="D72" s="262">
        <f>'1. tvēruma emisijas'!G110</f>
        <v>0</v>
      </c>
      <c r="E72" s="262" t="str">
        <f>A72&amp;" "&amp;Informācija!$F$12</f>
        <v xml:space="preserve">Organic Nitrogen fertilizers </v>
      </c>
      <c r="F72" s="277"/>
      <c r="G72" s="282">
        <f t="shared" ref="G72:G75" si="41">C72*IF(D72="t",1000,1)</f>
        <v>0</v>
      </c>
      <c r="H72" s="263"/>
      <c r="I72" s="263"/>
      <c r="J72" s="263"/>
      <c r="K72" s="264"/>
      <c r="L72" s="317"/>
      <c r="M72" s="328">
        <f>IFERROR(VLOOKUP(E72,'Carbon Factors'!$B$2:$H$471,5,FALSE),0)</f>
        <v>0</v>
      </c>
      <c r="N72" s="263"/>
      <c r="O72" s="264"/>
      <c r="P72" s="266">
        <f t="shared" si="40"/>
        <v>0</v>
      </c>
      <c r="Q72" s="262">
        <f>IFERROR(VLOOKUP(E72,'Carbon Factors'!$B$2:$K$471,9,FALSE),0)</f>
        <v>0</v>
      </c>
      <c r="R72" s="263"/>
      <c r="S72" s="263"/>
      <c r="T72" s="263"/>
      <c r="U72" s="263"/>
      <c r="V72" s="270">
        <f t="shared" ref="V72" si="42">P72+R72</f>
        <v>0</v>
      </c>
      <c r="W72" s="271">
        <f t="shared" ref="W72" si="43">Q72</f>
        <v>0</v>
      </c>
      <c r="X72" s="262">
        <f t="shared" ref="X72" si="44">V72</f>
        <v>0</v>
      </c>
      <c r="Y72" s="280"/>
      <c r="Z72" s="258">
        <f t="shared" si="37"/>
        <v>0</v>
      </c>
    </row>
    <row r="73" spans="1:31" ht="22" customHeight="1" x14ac:dyDescent="0.35">
      <c r="A73" s="259" t="s">
        <v>451</v>
      </c>
      <c r="B73" s="260" t="str" cm="1">
        <f t="array" ref="B73">IFERROR(_xlfn.IFS('1. tvēruma emisijas'!$G$84="YES", "YES", '1. tvēruma emisijas'!$G$84="Jah","YES", '1. tvēruma emisijas'!$G$84="Taip","YES",'1. tvēruma emisijas'!$G$84="Jā","YES"),"NO")</f>
        <v>NO</v>
      </c>
      <c r="C73" s="261">
        <f>IF(B73="YES", '1. tvēruma emisijas'!F111, 0)</f>
        <v>0</v>
      </c>
      <c r="D73" s="262">
        <f>'1. tvēruma emisijas'!G111</f>
        <v>0</v>
      </c>
      <c r="E73" s="262" t="str">
        <f>A73&amp;" "&amp;Informācija!$F$12</f>
        <v xml:space="preserve">Limestone </v>
      </c>
      <c r="F73" s="277"/>
      <c r="G73" s="282">
        <f t="shared" si="41"/>
        <v>0</v>
      </c>
      <c r="H73" s="263"/>
      <c r="I73" s="263"/>
      <c r="J73" s="263"/>
      <c r="K73" s="264"/>
      <c r="L73" s="317"/>
      <c r="M73" s="328">
        <f>IFERROR(VLOOKUP(E73,'Carbon Factors'!$B$2:$H$471,5,FALSE),0)</f>
        <v>0</v>
      </c>
      <c r="N73" s="263"/>
      <c r="O73" s="264"/>
      <c r="P73" s="266">
        <f t="shared" si="40"/>
        <v>0</v>
      </c>
      <c r="Q73" s="262">
        <f>IFERROR(VLOOKUP(E73,'Carbon Factors'!$B$2:$K$471,9,FALSE),0)</f>
        <v>0</v>
      </c>
      <c r="R73" s="263"/>
      <c r="S73" s="263"/>
      <c r="T73" s="263"/>
      <c r="U73" s="263"/>
      <c r="V73" s="270">
        <f t="shared" si="34"/>
        <v>0</v>
      </c>
      <c r="W73" s="271">
        <f t="shared" si="35"/>
        <v>0</v>
      </c>
      <c r="X73" s="262">
        <f t="shared" si="36"/>
        <v>0</v>
      </c>
      <c r="Y73" s="280"/>
      <c r="Z73" s="258">
        <f t="shared" si="37"/>
        <v>0</v>
      </c>
    </row>
    <row r="74" spans="1:31" ht="22" customHeight="1" x14ac:dyDescent="0.35">
      <c r="A74" s="283" t="s">
        <v>452</v>
      </c>
      <c r="B74" s="260" t="str" cm="1">
        <f t="array" ref="B74">IFERROR(_xlfn.IFS('1. tvēruma emisijas'!$G$84="YES", "YES", '1. tvēruma emisijas'!$G$84="Jah","YES", '1. tvēruma emisijas'!$G$84="Taip","YES",'1. tvēruma emisijas'!$G$84="Jā","YES"),"NO")</f>
        <v>NO</v>
      </c>
      <c r="C74" s="261">
        <f>IF(B74="YES", '1. tvēruma emisijas'!F112, 0)</f>
        <v>0</v>
      </c>
      <c r="D74" s="262">
        <f>'1. tvēruma emisijas'!G112</f>
        <v>0</v>
      </c>
      <c r="E74" s="262" t="str">
        <f>A74&amp;" "&amp;Informācija!$F$12</f>
        <v xml:space="preserve">Dolomite </v>
      </c>
      <c r="F74" s="277"/>
      <c r="G74" s="282">
        <f t="shared" si="41"/>
        <v>0</v>
      </c>
      <c r="H74" s="263"/>
      <c r="I74" s="263"/>
      <c r="J74" s="263"/>
      <c r="K74" s="264"/>
      <c r="L74" s="317"/>
      <c r="M74" s="328">
        <f>IFERROR(VLOOKUP(E74,'Carbon Factors'!$B$2:$H$471,5,FALSE),0)</f>
        <v>0</v>
      </c>
      <c r="N74" s="263"/>
      <c r="O74" s="264"/>
      <c r="P74" s="266">
        <f t="shared" si="40"/>
        <v>0</v>
      </c>
      <c r="Q74" s="262">
        <f>IFERROR(VLOOKUP(E74,'Carbon Factors'!$B$2:$K$471,9,FALSE),0)</f>
        <v>0</v>
      </c>
      <c r="R74" s="263"/>
      <c r="S74" s="263"/>
      <c r="T74" s="263"/>
      <c r="U74" s="263"/>
      <c r="V74" s="270">
        <f t="shared" si="34"/>
        <v>0</v>
      </c>
      <c r="W74" s="271">
        <f t="shared" si="35"/>
        <v>0</v>
      </c>
      <c r="X74" s="262">
        <f t="shared" si="36"/>
        <v>0</v>
      </c>
      <c r="Y74" s="280"/>
      <c r="Z74" s="258">
        <f t="shared" si="37"/>
        <v>0</v>
      </c>
      <c r="AA74" s="284"/>
      <c r="AB74" s="244" t="s">
        <v>387</v>
      </c>
      <c r="AC74" s="244" t="s">
        <v>388</v>
      </c>
      <c r="AD74" s="244" t="s">
        <v>390</v>
      </c>
      <c r="AE74" s="245" t="s">
        <v>391</v>
      </c>
    </row>
    <row r="75" spans="1:31" ht="22" customHeight="1" thickBot="1" x14ac:dyDescent="0.4">
      <c r="A75" s="283" t="s">
        <v>453</v>
      </c>
      <c r="B75" s="260" t="str" cm="1">
        <f t="array" ref="B75">IFERROR(_xlfn.IFS('1. tvēruma emisijas'!$G$84="YES", "YES", '1. tvēruma emisijas'!$G$84="Jah","YES", '1. tvēruma emisijas'!$G$84="Taip","YES",'1. tvēruma emisijas'!$G$84="Jā","YES"),"NO")</f>
        <v>NO</v>
      </c>
      <c r="C75" s="261">
        <f>IF(B75="YES", '1. tvēruma emisijas'!F113, 0)</f>
        <v>0</v>
      </c>
      <c r="D75" s="262">
        <f>'1. tvēruma emisijas'!G113</f>
        <v>0</v>
      </c>
      <c r="E75" s="262" t="str">
        <f>A75&amp;" "&amp;Informācija!$F$12</f>
        <v xml:space="preserve"> Animal manure applied to soils </v>
      </c>
      <c r="F75" s="325"/>
      <c r="G75" s="326">
        <f t="shared" si="41"/>
        <v>0</v>
      </c>
      <c r="H75" s="263"/>
      <c r="I75" s="263"/>
      <c r="J75" s="263"/>
      <c r="K75" s="264"/>
      <c r="L75" s="317"/>
      <c r="M75" s="329">
        <f>IFERROR(VLOOKUP(E75,'Carbon Factors'!$B$2:$H$471,5,FALSE),0)</f>
        <v>0</v>
      </c>
      <c r="N75" s="263"/>
      <c r="O75" s="264"/>
      <c r="P75" s="266">
        <f t="shared" ref="P75" si="45">G75*M75</f>
        <v>0</v>
      </c>
      <c r="Q75" s="262">
        <f>IFERROR(VLOOKUP(E75,'Carbon Factors'!$B$2:$K$471,9,FALSE),0)</f>
        <v>0</v>
      </c>
      <c r="R75" s="263"/>
      <c r="S75" s="263"/>
      <c r="T75" s="263"/>
      <c r="U75" s="263"/>
      <c r="V75" s="270">
        <f t="shared" ref="V75" si="46">P75+R75</f>
        <v>0</v>
      </c>
      <c r="W75" s="271">
        <f t="shared" ref="W75" si="47">Q75</f>
        <v>0</v>
      </c>
      <c r="X75" s="262">
        <f t="shared" ref="X75" si="48">V75</f>
        <v>0</v>
      </c>
      <c r="Y75" s="280"/>
      <c r="Z75" s="258">
        <f t="shared" si="37"/>
        <v>0</v>
      </c>
      <c r="AA75" s="284"/>
      <c r="AB75" s="244"/>
      <c r="AC75" s="244"/>
      <c r="AD75" s="244"/>
      <c r="AE75" s="245"/>
    </row>
    <row r="76" spans="1:31" ht="22" customHeight="1" x14ac:dyDescent="0.35">
      <c r="A76" s="285" t="s">
        <v>454</v>
      </c>
      <c r="B76" s="286"/>
      <c r="C76" s="595"/>
      <c r="D76" s="596"/>
      <c r="E76" s="596"/>
      <c r="F76" s="615"/>
      <c r="G76" s="615"/>
      <c r="H76" s="596"/>
      <c r="I76" s="596"/>
      <c r="J76" s="596"/>
      <c r="K76" s="597"/>
      <c r="L76" s="248"/>
      <c r="M76" s="616"/>
      <c r="N76" s="596"/>
      <c r="O76" s="597"/>
      <c r="P76" s="595"/>
      <c r="Q76" s="596"/>
      <c r="R76" s="596"/>
      <c r="S76" s="596"/>
      <c r="T76" s="596"/>
      <c r="U76" s="597"/>
      <c r="V76" s="619"/>
      <c r="W76" s="620"/>
      <c r="X76" s="620"/>
      <c r="Y76" s="620"/>
      <c r="Z76" s="621"/>
      <c r="AA76" s="250" t="s">
        <v>455</v>
      </c>
      <c r="AB76" s="251">
        <f>AB77+AB85</f>
        <v>0</v>
      </c>
      <c r="AC76" s="251">
        <f t="shared" ref="AC76:AD76" si="49">AC77+AC85</f>
        <v>0</v>
      </c>
      <c r="AD76" s="251">
        <f t="shared" si="49"/>
        <v>0</v>
      </c>
      <c r="AE76" s="252">
        <f>IFERROR(AB76/AD76,0)</f>
        <v>0</v>
      </c>
    </row>
    <row r="77" spans="1:31" ht="22" customHeight="1" x14ac:dyDescent="0.35">
      <c r="A77" s="253" t="s">
        <v>456</v>
      </c>
      <c r="B77" s="254"/>
      <c r="C77" s="612"/>
      <c r="D77" s="613"/>
      <c r="E77" s="613"/>
      <c r="F77" s="613"/>
      <c r="G77" s="613"/>
      <c r="H77" s="613"/>
      <c r="I77" s="613"/>
      <c r="J77" s="613"/>
      <c r="K77" s="614"/>
      <c r="L77" s="274"/>
      <c r="M77" s="612"/>
      <c r="N77" s="613"/>
      <c r="O77" s="614"/>
      <c r="P77" s="612"/>
      <c r="Q77" s="613"/>
      <c r="R77" s="613"/>
      <c r="S77" s="613"/>
      <c r="T77" s="613"/>
      <c r="U77" s="614"/>
      <c r="V77" s="606"/>
      <c r="W77" s="607"/>
      <c r="X77" s="607"/>
      <c r="Y77" s="607"/>
      <c r="Z77" s="608"/>
      <c r="AA77" s="256" t="s">
        <v>457</v>
      </c>
      <c r="AB77" s="257">
        <f>SUM(X78:X83)</f>
        <v>0</v>
      </c>
      <c r="AC77" s="257">
        <f>SUM(Y78:Y83)</f>
        <v>0</v>
      </c>
      <c r="AD77" s="257">
        <f>SUM(V78:V83)</f>
        <v>0</v>
      </c>
      <c r="AE77" s="258">
        <f>IFERROR(AB77/AD77,0)</f>
        <v>0</v>
      </c>
    </row>
    <row r="78" spans="1:31" ht="22" customHeight="1" x14ac:dyDescent="0.35">
      <c r="A78" s="259" t="s">
        <v>458</v>
      </c>
      <c r="B78" s="260" t="str">
        <f>IFERROR(IF('2. tvēruma emisijas'!H15&gt;0,"YES","NO"),"NO")</f>
        <v>NO</v>
      </c>
      <c r="C78" s="261">
        <f>IF(B78="Yes",'2. tvēruma emisijas'!H16,0)</f>
        <v>0</v>
      </c>
      <c r="D78" s="262">
        <f>'2. tvēruma emisijas'!K16</f>
        <v>0</v>
      </c>
      <c r="E78" s="262" t="str">
        <f>"Electricity - "&amp;'2. tvēruma emisijas'!$H$15&amp;" ("&amp;D78&amp;")"&amp;Informācija!$F$10</f>
        <v>Electricity - 0 (0)</v>
      </c>
      <c r="F78" s="262" t="str">
        <f>'2. tvēruma emisijas'!$H$15&amp;" - Distribution and trade of electricity"</f>
        <v>0 - Distribution and trade of electricity</v>
      </c>
      <c r="G78" s="263"/>
      <c r="H78" s="262">
        <f>IF(B78="YES",'2. tvēruma emisijas'!H20, 0)</f>
        <v>0</v>
      </c>
      <c r="I78" s="262" t="str">
        <f>'2. tvēruma emisijas'!K20</f>
        <v>EUR</v>
      </c>
      <c r="J78" s="263"/>
      <c r="K78" s="264"/>
      <c r="L78" s="263"/>
      <c r="M78" s="265">
        <f>IFERROR(VLOOKUP(E78,'Carbon Factors'!$B$2:$H$481,5,FALSE),0)</f>
        <v>0</v>
      </c>
      <c r="N78" s="262">
        <f>IFERROR(VLOOKUP(F78,'Carbon Factors'!$B$2:$H$481,5,FALSE),0)</f>
        <v>0</v>
      </c>
      <c r="O78" s="264"/>
      <c r="P78" s="266">
        <f t="shared" ref="P78" si="50">C78*M78</f>
        <v>0</v>
      </c>
      <c r="Q78" s="262">
        <f>IFERROR(VLOOKUP(E78,'Carbon Factors'!$B$2:$K$448,9,FALSE),0)</f>
        <v>0</v>
      </c>
      <c r="R78" s="262">
        <f>N78*H78</f>
        <v>0</v>
      </c>
      <c r="S78" s="262">
        <f>IFERROR(VLOOKUP(F78,'Carbon Factors'!$B$2:$K$448,9,FALSE),0)</f>
        <v>0</v>
      </c>
      <c r="T78" s="263"/>
      <c r="U78" s="264"/>
      <c r="V78" s="261">
        <f>P78+R78</f>
        <v>0</v>
      </c>
      <c r="W78" s="262">
        <f>Q78</f>
        <v>0</v>
      </c>
      <c r="X78" s="262">
        <f>P78</f>
        <v>0</v>
      </c>
      <c r="Y78" s="262">
        <f>R78</f>
        <v>0</v>
      </c>
      <c r="Z78" s="258">
        <f>IFERROR(P78/V78,0)</f>
        <v>0</v>
      </c>
    </row>
    <row r="79" spans="1:31" ht="22" customHeight="1" x14ac:dyDescent="0.35">
      <c r="A79" s="259" t="s">
        <v>458</v>
      </c>
      <c r="B79" s="260" t="str">
        <f>IFERROR(IF('2. tvēruma emisijas'!I15&gt;0,"YES","NO"),"NO")</f>
        <v>NO</v>
      </c>
      <c r="C79" s="261">
        <f>IF(B79="Yes",'2. tvēruma emisijas'!I16,0)</f>
        <v>0</v>
      </c>
      <c r="D79" s="262">
        <f>'2. tvēruma emisijas'!K16</f>
        <v>0</v>
      </c>
      <c r="E79" s="262" t="str">
        <f>"Electricity - "&amp;'2. tvēruma emisijas'!$I$15&amp;" ("&amp;D79&amp;")"&amp;Informācija!$F$10</f>
        <v>Electricity -  (0)</v>
      </c>
      <c r="F79" s="262" t="str">
        <f>'2. tvēruma emisijas'!$I$15&amp;" - Distribution and trade of electricity"</f>
        <v xml:space="preserve"> - Distribution and trade of electricity</v>
      </c>
      <c r="G79" s="263"/>
      <c r="H79" s="262">
        <f>IF(B79="YES", '2. tvēruma emisijas'!I20, 0)</f>
        <v>0</v>
      </c>
      <c r="I79" s="262" t="str">
        <f>'2. tvēruma emisijas'!K20</f>
        <v>EUR</v>
      </c>
      <c r="J79" s="263"/>
      <c r="K79" s="264"/>
      <c r="L79" s="263"/>
      <c r="M79" s="265">
        <f>IFERROR(VLOOKUP(E79,'Carbon Factors'!$B$2:$H$481,5,FALSE),0)</f>
        <v>0</v>
      </c>
      <c r="N79" s="262">
        <f>IFERROR(VLOOKUP(F79,'Carbon Factors'!$B$2:$H$481,5,FALSE),0)</f>
        <v>0</v>
      </c>
      <c r="O79" s="264"/>
      <c r="P79" s="266">
        <f t="shared" ref="P79:P83" si="51">C79*M79</f>
        <v>0</v>
      </c>
      <c r="Q79" s="262">
        <f>IFERROR(VLOOKUP(E79,'Carbon Factors'!$B$2:$K$448,9,FALSE),0)</f>
        <v>0</v>
      </c>
      <c r="R79" s="262">
        <f t="shared" ref="R79:R83" si="52">N79*H79</f>
        <v>0</v>
      </c>
      <c r="S79" s="262">
        <f>IFERROR(VLOOKUP(F79,'Carbon Factors'!$B$2:$K$448,9,FALSE),0)</f>
        <v>0</v>
      </c>
      <c r="T79" s="263"/>
      <c r="U79" s="264"/>
      <c r="V79" s="261">
        <f t="shared" ref="V79:V83" si="53">P79+R79</f>
        <v>0</v>
      </c>
      <c r="W79" s="262">
        <f t="shared" ref="W79:W83" si="54">Q79</f>
        <v>0</v>
      </c>
      <c r="X79" s="262">
        <f t="shared" ref="X79:X83" si="55">P79</f>
        <v>0</v>
      </c>
      <c r="Y79" s="262">
        <f t="shared" ref="Y79:Y83" si="56">R79</f>
        <v>0</v>
      </c>
      <c r="Z79" s="258">
        <f t="shared" ref="Z79:Z83" si="57">IFERROR(P79/V79,0)</f>
        <v>0</v>
      </c>
    </row>
    <row r="80" spans="1:31" ht="22" customHeight="1" thickBot="1" x14ac:dyDescent="0.4">
      <c r="A80" s="259" t="s">
        <v>458</v>
      </c>
      <c r="B80" s="260" t="str">
        <f>IFERROR(IF('2. tvēruma emisijas'!J15&gt;0,"YES","NO"),"NO")</f>
        <v>NO</v>
      </c>
      <c r="C80" s="261">
        <f>IF(B80="Yes",'2. tvēruma emisijas'!J16,0)</f>
        <v>0</v>
      </c>
      <c r="D80" s="262">
        <f>'2. tvēruma emisijas'!K16</f>
        <v>0</v>
      </c>
      <c r="E80" s="262" t="str">
        <f>"Electricity - "&amp;'2. tvēruma emisijas'!$J$15&amp;" ("&amp;D80&amp;")"&amp;Informācija!$F$10</f>
        <v>Electricity -  (0)</v>
      </c>
      <c r="F80" s="262" t="str">
        <f>'2. tvēruma emisijas'!$J$15&amp;" - Distribution and trade of electricity"</f>
        <v xml:space="preserve"> - Distribution and trade of electricity</v>
      </c>
      <c r="G80" s="263"/>
      <c r="H80" s="262">
        <f>IF(B80="YES", '2. tvēruma emisijas'!J20, 0)</f>
        <v>0</v>
      </c>
      <c r="I80" s="262" t="str">
        <f>'2. tvēruma emisijas'!K20</f>
        <v>EUR</v>
      </c>
      <c r="J80" s="263"/>
      <c r="K80" s="264"/>
      <c r="L80" s="263"/>
      <c r="M80" s="265">
        <f>IFERROR(VLOOKUP(E80,'Carbon Factors'!$B$2:$H$481,5,FALSE),0)</f>
        <v>0</v>
      </c>
      <c r="N80" s="262">
        <f>IFERROR(VLOOKUP(F80,'Carbon Factors'!$B$2:$H$481,5,FALSE),0)</f>
        <v>0</v>
      </c>
      <c r="O80" s="264"/>
      <c r="P80" s="266">
        <f t="shared" si="51"/>
        <v>0</v>
      </c>
      <c r="Q80" s="262">
        <f>IFERROR(VLOOKUP(E80,'Carbon Factors'!$B$2:$K$448,9,FALSE),0)</f>
        <v>0</v>
      </c>
      <c r="R80" s="262">
        <f t="shared" si="52"/>
        <v>0</v>
      </c>
      <c r="S80" s="262">
        <f>IFERROR(VLOOKUP(F80,'Carbon Factors'!$B$2:$K$448,9,FALSE),0)</f>
        <v>0</v>
      </c>
      <c r="T80" s="263"/>
      <c r="U80" s="264"/>
      <c r="V80" s="261">
        <f t="shared" si="53"/>
        <v>0</v>
      </c>
      <c r="W80" s="262">
        <f t="shared" si="54"/>
        <v>0</v>
      </c>
      <c r="X80" s="262">
        <f t="shared" si="55"/>
        <v>0</v>
      </c>
      <c r="Y80" s="262">
        <f t="shared" si="56"/>
        <v>0</v>
      </c>
      <c r="Z80" s="258">
        <f t="shared" si="57"/>
        <v>0</v>
      </c>
    </row>
    <row r="81" spans="1:31" ht="22" customHeight="1" x14ac:dyDescent="0.35">
      <c r="A81" s="259" t="s">
        <v>459</v>
      </c>
      <c r="B81" s="260" t="str" cm="1">
        <f t="array" ref="B81">IFERROR(_xlfn.IFS('2. tvēruma emisijas'!H17="Jā","YES"),"NO")</f>
        <v>NO</v>
      </c>
      <c r="C81" s="261">
        <f>IF(B81="Yes",'2. tvēruma emisijas'!H18,0)</f>
        <v>0</v>
      </c>
      <c r="D81" s="262" t="str">
        <f>'2. tvēruma emisijas'!K18</f>
        <v>MWh</v>
      </c>
      <c r="E81" s="262" t="str">
        <f>"Electricity - "&amp;'2. tvēruma emisijas'!$H$15&amp;" ("&amp;D81&amp;")"&amp;Informācija!$F$10</f>
        <v>Electricity - 0 (MWh)</v>
      </c>
      <c r="F81" s="262" t="str">
        <f>'2. tvēruma emisijas'!$H$15&amp;" - Distribution and trade of electricity"</f>
        <v>0 - Distribution and trade of electricity</v>
      </c>
      <c r="G81" s="263"/>
      <c r="H81" s="262">
        <f>IF(B81="YES", '2. tvēruma emisijas'!H21, 0)</f>
        <v>0</v>
      </c>
      <c r="I81" s="262" t="str">
        <f>'2. tvēruma emisijas'!K21</f>
        <v>EUR</v>
      </c>
      <c r="J81" s="263"/>
      <c r="K81" s="264"/>
      <c r="L81" s="263"/>
      <c r="M81" s="310">
        <v>0</v>
      </c>
      <c r="N81" s="311">
        <v>0</v>
      </c>
      <c r="O81" s="309"/>
      <c r="P81" s="266">
        <f t="shared" si="51"/>
        <v>0</v>
      </c>
      <c r="Q81" s="262">
        <f>IFERROR(VLOOKUP(E81,'Carbon Factors'!$B$2:$K$448,9,FALSE),0)</f>
        <v>0</v>
      </c>
      <c r="R81" s="262">
        <f t="shared" si="52"/>
        <v>0</v>
      </c>
      <c r="S81" s="262">
        <f>IFERROR(VLOOKUP(F81,'Carbon Factors'!$B$2:$K$448,9,FALSE),0)</f>
        <v>0</v>
      </c>
      <c r="T81" s="263"/>
      <c r="U81" s="264"/>
      <c r="V81" s="261">
        <f t="shared" si="53"/>
        <v>0</v>
      </c>
      <c r="W81" s="262">
        <f t="shared" si="54"/>
        <v>0</v>
      </c>
      <c r="X81" s="262">
        <f t="shared" si="55"/>
        <v>0</v>
      </c>
      <c r="Y81" s="262">
        <f t="shared" si="56"/>
        <v>0</v>
      </c>
      <c r="Z81" s="258">
        <f t="shared" si="57"/>
        <v>0</v>
      </c>
    </row>
    <row r="82" spans="1:31" ht="22" customHeight="1" x14ac:dyDescent="0.35">
      <c r="A82" s="259" t="s">
        <v>459</v>
      </c>
      <c r="B82" s="260" t="str" cm="1">
        <f t="array" ref="B82">IFERROR(_xlfn.IFS('2. tvēruma emisijas'!I17="Jā","YES"),"NO")</f>
        <v>NO</v>
      </c>
      <c r="C82" s="261">
        <f>IF(B82="Yes",'2. tvēruma emisijas'!I18,0)</f>
        <v>0</v>
      </c>
      <c r="D82" s="262" t="str">
        <f>'2. tvēruma emisijas'!K18</f>
        <v>MWh</v>
      </c>
      <c r="E82" s="262" t="str">
        <f>"Electricity - "&amp;'2. tvēruma emisijas'!$I$15&amp;" ("&amp;D82&amp;")"&amp;Informācija!$F$10</f>
        <v>Electricity -  (MWh)</v>
      </c>
      <c r="F82" s="262" t="str">
        <f>'2. tvēruma emisijas'!$I$15&amp;" - Distribution and trade of electricity"</f>
        <v xml:space="preserve"> - Distribution and trade of electricity</v>
      </c>
      <c r="G82" s="263"/>
      <c r="H82" s="262">
        <f>IF(B82="YES", '2. tvēruma emisijas'!I21, 0)</f>
        <v>0</v>
      </c>
      <c r="I82" s="262" t="str">
        <f>'2. tvēruma emisijas'!K21</f>
        <v>EUR</v>
      </c>
      <c r="J82" s="263"/>
      <c r="K82" s="264"/>
      <c r="L82" s="263"/>
      <c r="M82" s="312">
        <v>0</v>
      </c>
      <c r="N82" s="313">
        <v>0</v>
      </c>
      <c r="O82" s="309"/>
      <c r="P82" s="266">
        <f t="shared" si="51"/>
        <v>0</v>
      </c>
      <c r="Q82" s="262">
        <f>IFERROR(VLOOKUP(E82,'Carbon Factors'!$B$2:$K$448,9,FALSE),0)</f>
        <v>0</v>
      </c>
      <c r="R82" s="262">
        <f t="shared" si="52"/>
        <v>0</v>
      </c>
      <c r="S82" s="262">
        <f>IFERROR(VLOOKUP(F82,'Carbon Factors'!$B$2:$K$448,9,FALSE),0)</f>
        <v>0</v>
      </c>
      <c r="T82" s="263"/>
      <c r="U82" s="264"/>
      <c r="V82" s="261">
        <f t="shared" si="53"/>
        <v>0</v>
      </c>
      <c r="W82" s="262">
        <f t="shared" si="54"/>
        <v>0</v>
      </c>
      <c r="X82" s="262">
        <f t="shared" si="55"/>
        <v>0</v>
      </c>
      <c r="Y82" s="262">
        <f t="shared" si="56"/>
        <v>0</v>
      </c>
      <c r="Z82" s="258">
        <f t="shared" si="57"/>
        <v>0</v>
      </c>
    </row>
    <row r="83" spans="1:31" ht="22" customHeight="1" thickBot="1" x14ac:dyDescent="0.4">
      <c r="A83" s="259" t="s">
        <v>459</v>
      </c>
      <c r="B83" s="260" t="str" cm="1">
        <f t="array" ref="B83">IFERROR(_xlfn.IFS('2. tvēruma emisijas'!J17="Jā","YES"),"NO")</f>
        <v>NO</v>
      </c>
      <c r="C83" s="261">
        <f>IF(B83="Yes",'2. tvēruma emisijas'!J18,0)</f>
        <v>0</v>
      </c>
      <c r="D83" s="262" t="str">
        <f>'2. tvēruma emisijas'!K18</f>
        <v>MWh</v>
      </c>
      <c r="E83" s="262" t="str">
        <f>"Electricity - "&amp;'2. tvēruma emisijas'!$J$15&amp;" ("&amp;D83&amp;")"&amp;Informācija!$F$10</f>
        <v>Electricity -  (MWh)</v>
      </c>
      <c r="F83" s="262" t="str">
        <f>'2. tvēruma emisijas'!$J$15&amp;" - Distribution and trade of electricity"</f>
        <v xml:space="preserve"> - Distribution and trade of electricity</v>
      </c>
      <c r="G83" s="263"/>
      <c r="H83" s="262">
        <f>IF(B83="YES", '2. tvēruma emisijas'!J21, 0)</f>
        <v>0</v>
      </c>
      <c r="I83" s="262" t="str">
        <f>'2. tvēruma emisijas'!K21</f>
        <v>EUR</v>
      </c>
      <c r="J83" s="263"/>
      <c r="K83" s="264"/>
      <c r="L83" s="263"/>
      <c r="M83" s="314">
        <v>0</v>
      </c>
      <c r="N83" s="315">
        <v>0</v>
      </c>
      <c r="O83" s="309"/>
      <c r="P83" s="266">
        <f t="shared" si="51"/>
        <v>0</v>
      </c>
      <c r="Q83" s="262">
        <f>IFERROR(VLOOKUP(E83,'Carbon Factors'!$B$2:$K$448,9,FALSE),0)</f>
        <v>0</v>
      </c>
      <c r="R83" s="262">
        <f t="shared" si="52"/>
        <v>0</v>
      </c>
      <c r="S83" s="262">
        <f>IFERROR(VLOOKUP(F83,'Carbon Factors'!$B$2:$K$448,9,FALSE),0)</f>
        <v>0</v>
      </c>
      <c r="T83" s="263"/>
      <c r="U83" s="264"/>
      <c r="V83" s="261">
        <f t="shared" si="53"/>
        <v>0</v>
      </c>
      <c r="W83" s="262">
        <f t="shared" si="54"/>
        <v>0</v>
      </c>
      <c r="X83" s="262">
        <f t="shared" si="55"/>
        <v>0</v>
      </c>
      <c r="Y83" s="262">
        <f t="shared" si="56"/>
        <v>0</v>
      </c>
      <c r="Z83" s="258">
        <f t="shared" si="57"/>
        <v>0</v>
      </c>
    </row>
    <row r="84" spans="1:31" ht="22" customHeight="1" x14ac:dyDescent="0.35">
      <c r="A84" s="253" t="s">
        <v>460</v>
      </c>
      <c r="B84" s="254"/>
      <c r="C84" s="612"/>
      <c r="D84" s="613"/>
      <c r="E84" s="613"/>
      <c r="F84" s="613"/>
      <c r="G84" s="613"/>
      <c r="H84" s="613"/>
      <c r="I84" s="613"/>
      <c r="J84" s="613"/>
      <c r="K84" s="614"/>
      <c r="L84" s="274"/>
      <c r="M84" s="617"/>
      <c r="N84" s="618"/>
      <c r="O84" s="614"/>
      <c r="P84" s="612"/>
      <c r="Q84" s="613"/>
      <c r="R84" s="613"/>
      <c r="S84" s="613"/>
      <c r="T84" s="613"/>
      <c r="U84" s="614"/>
      <c r="V84" s="606"/>
      <c r="W84" s="607"/>
      <c r="X84" s="607"/>
      <c r="Y84" s="607"/>
      <c r="Z84" s="608"/>
      <c r="AA84" s="580" t="s">
        <v>461</v>
      </c>
      <c r="AB84" s="244" t="s">
        <v>387</v>
      </c>
      <c r="AC84" s="244" t="s">
        <v>388</v>
      </c>
      <c r="AD84" s="244" t="s">
        <v>390</v>
      </c>
      <c r="AE84" s="245" t="s">
        <v>391</v>
      </c>
    </row>
    <row r="85" spans="1:31" ht="22" customHeight="1" x14ac:dyDescent="0.35">
      <c r="A85" s="259" t="s">
        <v>462</v>
      </c>
      <c r="B85" s="260" t="str" cm="1">
        <f t="array" ref="B85">IFERROR(_xlfn.IFS('2. tvēruma emisijas'!C33="Yes","YES",'2. tvēruma emisijas'!C33="Jah","YES", '2. tvēruma emisijas'!C33="Taip","YES",'2. tvēruma emisijas'!C33="Jā","YES"),"NO")</f>
        <v>NO</v>
      </c>
      <c r="C85" s="261">
        <f>IF(B85="Yes",'2. tvēruma emisijas'!D33,0)</f>
        <v>0</v>
      </c>
      <c r="D85" s="262">
        <f>'2. tvēruma emisijas'!E33</f>
        <v>0</v>
      </c>
      <c r="E85" s="262" t="str">
        <f>Informācija!$F$12&amp;" "&amp;D85&amp;" "&amp;Informācija!$F$10&amp;" "&amp;A85</f>
        <v xml:space="preserve"> 0  District Heating</v>
      </c>
      <c r="F85" s="262" t="str">
        <f>Informācija!$F$12&amp;" "&amp;"kWh"&amp;" "&amp;Informācija!$F$10&amp;" "&amp;A85</f>
        <v xml:space="preserve"> kWh  District Heating</v>
      </c>
      <c r="G85" s="263"/>
      <c r="H85" s="262">
        <f>IF(B85="YES",'2. tvēruma emisijas'!H33, 0)</f>
        <v>0</v>
      </c>
      <c r="I85" s="262" t="str">
        <f>'2. tvēruma emisijas'!I33</f>
        <v>m2</v>
      </c>
      <c r="J85" s="263"/>
      <c r="K85" s="264"/>
      <c r="L85" s="265">
        <f>'Benchmark CIBSE'!$B$9</f>
        <v>101.71428571428571</v>
      </c>
      <c r="M85" s="261">
        <f>IFERROR(VLOOKUP(E85,'Carbon Factors'!$B$2:$H$481,5,FALSE),0)</f>
        <v>0</v>
      </c>
      <c r="N85" s="262">
        <f>IFERROR(VLOOKUP(F85,'Carbon Factors'!$B$2:$H$481,5,FALSE),0)</f>
        <v>0</v>
      </c>
      <c r="O85" s="264"/>
      <c r="P85" s="266">
        <f>C85*M85</f>
        <v>0</v>
      </c>
      <c r="Q85" s="267">
        <f>IFERROR(VLOOKUP(E85,'Carbon Factors'!$B$2:$K$448,9,FALSE),0)</f>
        <v>0</v>
      </c>
      <c r="R85" s="262">
        <f>H85*L85*N85</f>
        <v>0</v>
      </c>
      <c r="S85" s="267">
        <f>IFERROR(VLOOKUP(F85,'Carbon Factors'!$B$2:$K$448,9,FALSE),0)</f>
        <v>0</v>
      </c>
      <c r="T85" s="263"/>
      <c r="U85" s="264"/>
      <c r="V85" s="261">
        <f>P85+R85</f>
        <v>0</v>
      </c>
      <c r="W85" s="262">
        <f>Q85</f>
        <v>0</v>
      </c>
      <c r="X85" s="262">
        <f>P85</f>
        <v>0</v>
      </c>
      <c r="Y85" s="262">
        <f>R85</f>
        <v>0</v>
      </c>
      <c r="Z85" s="258">
        <f>IFERROR(P85/V85,0)</f>
        <v>0</v>
      </c>
      <c r="AA85" s="580"/>
      <c r="AB85" s="257">
        <f>SUM(X85:X87)</f>
        <v>0</v>
      </c>
      <c r="AC85" s="257">
        <f>SUM(Y85:Y87)</f>
        <v>0</v>
      </c>
      <c r="AD85" s="257">
        <f>SUM(V85:V87)</f>
        <v>0</v>
      </c>
      <c r="AE85" s="258">
        <f>IFERROR(AB85/AD85,0)</f>
        <v>0</v>
      </c>
    </row>
    <row r="86" spans="1:31" ht="22" customHeight="1" x14ac:dyDescent="0.35">
      <c r="A86" s="259" t="s">
        <v>463</v>
      </c>
      <c r="B86" s="260" t="str" cm="1">
        <f t="array" ref="B86">IFERROR(_xlfn.IFS('2. tvēruma emisijas'!C34="Yes","YES",'2. tvēruma emisijas'!C34="Jah","YES", '2. tvēruma emisijas'!C34="Taip","YES",'2. tvēruma emisijas'!C34="Jā","YES"),"NO")</f>
        <v>NO</v>
      </c>
      <c r="C86" s="261">
        <f>IF(B86="Yes",'2. tvēruma emisijas'!D34,0)</f>
        <v>0</v>
      </c>
      <c r="D86" s="262">
        <f>'2. tvēruma emisijas'!E34</f>
        <v>0</v>
      </c>
      <c r="E86" s="262" t="str">
        <f>Informācija!$F$12&amp;" "&amp;D86&amp;" "&amp;Informācija!$F$10&amp;" "&amp;A86</f>
        <v xml:space="preserve"> 0  District Cooling</v>
      </c>
      <c r="F86" s="262" t="str">
        <f>Informācija!$F$12&amp;" "&amp;"kWh"&amp;" "&amp;Informācija!$F$10&amp;" "&amp;A86</f>
        <v xml:space="preserve"> kWh  District Cooling</v>
      </c>
      <c r="G86" s="263"/>
      <c r="H86" s="330">
        <v>0</v>
      </c>
      <c r="I86" s="262">
        <f>'2. tvēruma emisijas'!I34</f>
        <v>0</v>
      </c>
      <c r="J86" s="263"/>
      <c r="K86" s="264"/>
      <c r="L86" s="265">
        <f>'Benchmark CIBSE'!$B$9</f>
        <v>101.71428571428571</v>
      </c>
      <c r="M86" s="261">
        <f>IFERROR(VLOOKUP(E86,'Carbon Factors'!$B$2:$H$481,5,FALSE),0)</f>
        <v>0</v>
      </c>
      <c r="N86" s="262">
        <f>IFERROR(VLOOKUP(F86,'Carbon Factors'!$B$2:$H$481,5,FALSE),0)</f>
        <v>0</v>
      </c>
      <c r="O86" s="264"/>
      <c r="P86" s="266">
        <f t="shared" ref="P86" si="58">C86*M86</f>
        <v>0</v>
      </c>
      <c r="Q86" s="267">
        <f>IFERROR(VLOOKUP(E86,'Carbon Factors'!$B$2:$K$448,9,FALSE),0)</f>
        <v>0</v>
      </c>
      <c r="R86" s="262">
        <f t="shared" ref="R86" si="59">H86*L86*N86</f>
        <v>0</v>
      </c>
      <c r="S86" s="267">
        <f>IFERROR(VLOOKUP(F86,'Carbon Factors'!$B$2:$K$448,9,FALSE),0)</f>
        <v>0</v>
      </c>
      <c r="T86" s="263"/>
      <c r="U86" s="264"/>
      <c r="V86" s="261">
        <f t="shared" ref="V86:V87" si="60">P86+R86</f>
        <v>0</v>
      </c>
      <c r="W86" s="262">
        <f t="shared" ref="W86:W87" si="61">Q86</f>
        <v>0</v>
      </c>
      <c r="X86" s="262">
        <f>P86</f>
        <v>0</v>
      </c>
      <c r="Y86" s="262">
        <f t="shared" ref="Y86:Y87" si="62">R86</f>
        <v>0</v>
      </c>
      <c r="Z86" s="258">
        <f t="shared" ref="Z86:Z87" si="63">IFERROR(P86/V86,0)</f>
        <v>0</v>
      </c>
    </row>
    <row r="87" spans="1:31" ht="22" customHeight="1" thickBot="1" x14ac:dyDescent="0.4">
      <c r="A87" s="259" t="s">
        <v>313</v>
      </c>
      <c r="B87" s="260" t="str" cm="1">
        <f t="array" ref="B87">IFERROR(_xlfn.IFS('2. tvēruma emisijas'!C35="Yes","YES",'2. tvēruma emisijas'!C35="Jah","YES", '2. tvēruma emisijas'!C35="Taip","YES",'2. tvēruma emisijas'!C35="Jā","YES"),"NO")</f>
        <v>NO</v>
      </c>
      <c r="C87" s="261">
        <f>IF(B87="Yes",'2. tvēruma emisijas'!D35,0)</f>
        <v>0</v>
      </c>
      <c r="D87" s="262">
        <f>'2. tvēruma emisijas'!E35</f>
        <v>0</v>
      </c>
      <c r="E87" s="262" t="str">
        <f>Informācija!$F$12&amp;" "&amp;D87&amp;" "&amp;Informācija!$F$10&amp;" "&amp;A87</f>
        <v xml:space="preserve"> 0  Steam</v>
      </c>
      <c r="F87" s="262" t="str">
        <f>Informācija!$F$12&amp;" "&amp;"kWh"&amp;" "&amp;Informācija!$F$10&amp;" "&amp;A87</f>
        <v xml:space="preserve"> kWh  Steam</v>
      </c>
      <c r="G87" s="263"/>
      <c r="H87" s="331">
        <v>0</v>
      </c>
      <c r="I87" s="262">
        <f>'2. tvēruma emisijas'!I35</f>
        <v>0</v>
      </c>
      <c r="J87" s="263"/>
      <c r="K87" s="264"/>
      <c r="L87" s="265">
        <f>'Benchmark CIBSE'!$B$9</f>
        <v>101.71428571428571</v>
      </c>
      <c r="M87" s="261">
        <f>IFERROR(VLOOKUP(E87,'Carbon Factors'!$B$2:$H$481,5,FALSE),0)</f>
        <v>0</v>
      </c>
      <c r="N87" s="262">
        <f>IFERROR(VLOOKUP(F87,'Carbon Factors'!$B$2:$H$481,5,FALSE),0)</f>
        <v>0</v>
      </c>
      <c r="O87" s="264"/>
      <c r="P87" s="266">
        <f>C87*M87</f>
        <v>0</v>
      </c>
      <c r="Q87" s="267">
        <f>IFERROR(VLOOKUP(E87,'Carbon Factors'!$B$2:$K$448,9,FALSE),0)</f>
        <v>0</v>
      </c>
      <c r="R87" s="262">
        <f>H87*L87*N87</f>
        <v>0</v>
      </c>
      <c r="S87" s="267">
        <f>IFERROR(VLOOKUP(F87,'Carbon Factors'!$B$2:$K$448,9,FALSE),0)</f>
        <v>0</v>
      </c>
      <c r="T87" s="263"/>
      <c r="U87" s="264"/>
      <c r="V87" s="261">
        <f t="shared" si="60"/>
        <v>0</v>
      </c>
      <c r="W87" s="262">
        <f t="shared" si="61"/>
        <v>0</v>
      </c>
      <c r="X87" s="262">
        <f t="shared" ref="X87" si="64">P87</f>
        <v>0</v>
      </c>
      <c r="Y87" s="262">
        <f t="shared" si="62"/>
        <v>0</v>
      </c>
      <c r="Z87" s="258">
        <f t="shared" si="63"/>
        <v>0</v>
      </c>
    </row>
    <row r="88" spans="1:31" ht="22" customHeight="1" thickTop="1" x14ac:dyDescent="0.35">
      <c r="A88" s="581" t="s">
        <v>464</v>
      </c>
      <c r="B88" s="582"/>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3"/>
      <c r="AB88" s="287" t="s">
        <v>387</v>
      </c>
      <c r="AC88" s="287" t="s">
        <v>388</v>
      </c>
      <c r="AD88" s="287" t="s">
        <v>390</v>
      </c>
      <c r="AE88" s="288" t="s">
        <v>391</v>
      </c>
    </row>
    <row r="89" spans="1:31" s="233" customFormat="1" ht="22" customHeight="1" thickBot="1" x14ac:dyDescent="0.4">
      <c r="A89" s="584"/>
      <c r="B89" s="585"/>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6"/>
      <c r="AB89" s="289">
        <f>AB76+AB3</f>
        <v>0</v>
      </c>
      <c r="AC89" s="289">
        <f>AC76+AC3</f>
        <v>0</v>
      </c>
      <c r="AD89" s="289">
        <f>AD76+AD3</f>
        <v>0</v>
      </c>
      <c r="AE89" s="290">
        <f>IFERROR(AB89/AD89,0)</f>
        <v>0</v>
      </c>
    </row>
    <row r="90" spans="1:31" s="233" customFormat="1" ht="15" thickTop="1" x14ac:dyDescent="0.35">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AA90" s="231"/>
      <c r="AB90" s="232"/>
      <c r="AC90" s="232"/>
      <c r="AD90" s="232"/>
    </row>
  </sheetData>
  <mergeCells count="60">
    <mergeCell ref="V46:Z46"/>
    <mergeCell ref="P46:U46"/>
    <mergeCell ref="M46:O46"/>
    <mergeCell ref="H46:K46"/>
    <mergeCell ref="C46:E46"/>
    <mergeCell ref="V84:Z84"/>
    <mergeCell ref="P84:U84"/>
    <mergeCell ref="M84:O84"/>
    <mergeCell ref="P76:U76"/>
    <mergeCell ref="P77:U77"/>
    <mergeCell ref="V76:Z76"/>
    <mergeCell ref="V77:Z77"/>
    <mergeCell ref="C84:K84"/>
    <mergeCell ref="C76:K76"/>
    <mergeCell ref="C77:K77"/>
    <mergeCell ref="M76:O76"/>
    <mergeCell ref="M77:O77"/>
    <mergeCell ref="AG9:AK9"/>
    <mergeCell ref="C11:K11"/>
    <mergeCell ref="M11:O11"/>
    <mergeCell ref="P11:U11"/>
    <mergeCell ref="V11:Z11"/>
    <mergeCell ref="AG10:AG11"/>
    <mergeCell ref="AH10:AH11"/>
    <mergeCell ref="AI10:AI11"/>
    <mergeCell ref="AJ10:AJ11"/>
    <mergeCell ref="AK10:AK11"/>
    <mergeCell ref="V4:Z4"/>
    <mergeCell ref="C16:K16"/>
    <mergeCell ref="M16:O16"/>
    <mergeCell ref="V33:Z33"/>
    <mergeCell ref="V44:Z44"/>
    <mergeCell ref="P16:U16"/>
    <mergeCell ref="V16:Z16"/>
    <mergeCell ref="C33:K33"/>
    <mergeCell ref="C44:K44"/>
    <mergeCell ref="M33:O33"/>
    <mergeCell ref="M44:O44"/>
    <mergeCell ref="P33:U33"/>
    <mergeCell ref="P1:U1"/>
    <mergeCell ref="V1:Z1"/>
    <mergeCell ref="L1:L2"/>
    <mergeCell ref="M1:O1"/>
    <mergeCell ref="V3:Z3"/>
    <mergeCell ref="A1:B1"/>
    <mergeCell ref="AA46:AA47"/>
    <mergeCell ref="AA84:AA85"/>
    <mergeCell ref="A88:AA89"/>
    <mergeCell ref="C1:K1"/>
    <mergeCell ref="AA11:AA12"/>
    <mergeCell ref="AA16:AA17"/>
    <mergeCell ref="AA33:AA34"/>
    <mergeCell ref="AA44:AA45"/>
    <mergeCell ref="C4:K4"/>
    <mergeCell ref="C3:K3"/>
    <mergeCell ref="M3:O3"/>
    <mergeCell ref="M4:O4"/>
    <mergeCell ref="P3:U3"/>
    <mergeCell ref="P4:U4"/>
    <mergeCell ref="P44:U44"/>
  </mergeCells>
  <phoneticPr fontId="12" type="noConversion"/>
  <conditionalFormatting sqref="A71:A75">
    <cfRule type="expression" dxfId="1" priority="1">
      <formula>$J$101="NO"</formula>
    </cfRule>
  </conditionalFormatting>
  <conditionalFormatting sqref="A47:B47 A48:A70 B48:B75">
    <cfRule type="expression" dxfId="0" priority="29">
      <formula>$J$111="NO"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sheetPr>
    <tabColor theme="0" tint="-0.249977111117893"/>
  </sheetPr>
  <dimension ref="A1:L456"/>
  <sheetViews>
    <sheetView topLeftCell="A291" zoomScale="90" zoomScaleNormal="90" workbookViewId="0">
      <selection activeCell="H86" sqref="H86"/>
    </sheetView>
  </sheetViews>
  <sheetFormatPr defaultRowHeight="14.5" x14ac:dyDescent="0.35"/>
  <cols>
    <col min="1" max="1" width="19.453125" style="27" bestFit="1" customWidth="1"/>
    <col min="2" max="2" width="39.81640625" style="27" bestFit="1" customWidth="1"/>
    <col min="3" max="5" width="22.54296875" style="423" customWidth="1"/>
    <col min="6" max="8" width="15.54296875" style="321" customWidth="1"/>
    <col min="9" max="11" width="15.54296875" style="27" customWidth="1"/>
    <col min="12" max="12" width="101.54296875" style="27" bestFit="1" customWidth="1"/>
  </cols>
  <sheetData>
    <row r="1" spans="1:12" s="127" customFormat="1" ht="15" thickBot="1" x14ac:dyDescent="0.4">
      <c r="A1" s="392" t="s">
        <v>465</v>
      </c>
      <c r="B1" s="392" t="s">
        <v>466</v>
      </c>
      <c r="C1" s="415" t="s">
        <v>467</v>
      </c>
      <c r="D1" s="415" t="s">
        <v>466</v>
      </c>
      <c r="E1" s="416" t="s">
        <v>468</v>
      </c>
      <c r="F1" s="393" t="s">
        <v>469</v>
      </c>
      <c r="G1" s="394" t="s">
        <v>470</v>
      </c>
      <c r="H1" s="394" t="s">
        <v>471</v>
      </c>
      <c r="I1" s="392" t="s">
        <v>472</v>
      </c>
      <c r="J1" s="392" t="s">
        <v>473</v>
      </c>
      <c r="K1" s="395" t="s">
        <v>366</v>
      </c>
      <c r="L1" s="396" t="s">
        <v>474</v>
      </c>
    </row>
    <row r="2" spans="1:12" ht="15" thickTop="1" x14ac:dyDescent="0.35">
      <c r="A2" s="397" t="s">
        <v>475</v>
      </c>
      <c r="B2" s="398" t="s">
        <v>476</v>
      </c>
      <c r="C2" s="417" t="s">
        <v>477</v>
      </c>
      <c r="D2" s="417" t="s">
        <v>476</v>
      </c>
      <c r="E2" s="418" t="s">
        <v>478</v>
      </c>
      <c r="F2" s="399">
        <f>265*H2/1000</f>
        <v>2.6500000006442923E-6</v>
      </c>
      <c r="G2" s="400"/>
      <c r="H2" s="400">
        <v>1.0000000002431292E-5</v>
      </c>
      <c r="I2" s="397" t="s">
        <v>123</v>
      </c>
      <c r="J2" s="397" t="s">
        <v>420</v>
      </c>
      <c r="K2" s="401">
        <v>2024</v>
      </c>
      <c r="L2" s="402" t="s">
        <v>479</v>
      </c>
    </row>
    <row r="3" spans="1:12" x14ac:dyDescent="0.35">
      <c r="A3" s="7" t="s">
        <v>475</v>
      </c>
      <c r="B3" s="403" t="s">
        <v>480</v>
      </c>
      <c r="C3" s="419" t="s">
        <v>480</v>
      </c>
      <c r="D3" s="419" t="s">
        <v>480</v>
      </c>
      <c r="E3" s="420" t="s">
        <v>481</v>
      </c>
      <c r="F3" s="404">
        <f t="shared" ref="F3:F4" si="0">265*H3/1000</f>
        <v>2.6499999999999331E-6</v>
      </c>
      <c r="G3" s="320"/>
      <c r="H3" s="320">
        <v>9.9999999999997484E-6</v>
      </c>
      <c r="I3" s="7" t="s">
        <v>123</v>
      </c>
      <c r="J3" s="7" t="s">
        <v>420</v>
      </c>
      <c r="K3" s="405">
        <v>2024</v>
      </c>
      <c r="L3" s="406" t="s">
        <v>479</v>
      </c>
    </row>
    <row r="4" spans="1:12" x14ac:dyDescent="0.35">
      <c r="A4" s="7" t="s">
        <v>475</v>
      </c>
      <c r="B4" s="403" t="s">
        <v>482</v>
      </c>
      <c r="C4" s="419" t="s">
        <v>482</v>
      </c>
      <c r="D4" s="419" t="s">
        <v>482</v>
      </c>
      <c r="E4" s="420" t="s">
        <v>483</v>
      </c>
      <c r="F4" s="404">
        <f t="shared" si="0"/>
        <v>2.6499999999999916E-6</v>
      </c>
      <c r="G4" s="320"/>
      <c r="H4" s="320">
        <v>9.9999999999999686E-6</v>
      </c>
      <c r="I4" s="7" t="s">
        <v>123</v>
      </c>
      <c r="J4" s="7" t="s">
        <v>420</v>
      </c>
      <c r="K4" s="405">
        <v>2024</v>
      </c>
      <c r="L4" s="406" t="s">
        <v>479</v>
      </c>
    </row>
    <row r="5" spans="1:12" x14ac:dyDescent="0.35">
      <c r="A5" s="7" t="s">
        <v>475</v>
      </c>
      <c r="B5" s="403" t="s">
        <v>484</v>
      </c>
      <c r="C5" s="419" t="s">
        <v>485</v>
      </c>
      <c r="D5" s="419" t="s">
        <v>484</v>
      </c>
      <c r="E5" s="420" t="s">
        <v>486</v>
      </c>
      <c r="F5" s="407">
        <f>265*H5</f>
        <v>0.26989143509090324</v>
      </c>
      <c r="G5" s="320"/>
      <c r="H5" s="128">
        <f>1.01845824562605/1000</f>
        <v>1.01845824562605E-3</v>
      </c>
      <c r="I5" s="7" t="s">
        <v>487</v>
      </c>
      <c r="J5" s="7" t="s">
        <v>420</v>
      </c>
      <c r="K5" s="405">
        <v>2022</v>
      </c>
      <c r="L5" s="406" t="s">
        <v>479</v>
      </c>
    </row>
    <row r="6" spans="1:12" x14ac:dyDescent="0.35">
      <c r="A6" s="7" t="s">
        <v>475</v>
      </c>
      <c r="B6" s="403" t="s">
        <v>488</v>
      </c>
      <c r="C6" s="419" t="s">
        <v>488</v>
      </c>
      <c r="D6" s="419" t="s">
        <v>488</v>
      </c>
      <c r="E6" s="420" t="s">
        <v>489</v>
      </c>
      <c r="F6" s="407">
        <f t="shared" ref="F6:F28" si="1">265*H6</f>
        <v>0.19474642415049298</v>
      </c>
      <c r="G6" s="320"/>
      <c r="H6" s="128">
        <f>0.734892166605634/1000</f>
        <v>7.3489216660563392E-4</v>
      </c>
      <c r="I6" s="7" t="s">
        <v>487</v>
      </c>
      <c r="J6" s="7" t="s">
        <v>420</v>
      </c>
      <c r="K6" s="405">
        <v>2022</v>
      </c>
      <c r="L6" s="406" t="s">
        <v>479</v>
      </c>
    </row>
    <row r="7" spans="1:12" x14ac:dyDescent="0.35">
      <c r="A7" s="7" t="s">
        <v>475</v>
      </c>
      <c r="B7" s="403" t="s">
        <v>490</v>
      </c>
      <c r="C7" s="419" t="s">
        <v>490</v>
      </c>
      <c r="D7" s="419" t="s">
        <v>490</v>
      </c>
      <c r="E7" s="420" t="s">
        <v>491</v>
      </c>
      <c r="F7" s="407">
        <f t="shared" si="1"/>
        <v>0.1749</v>
      </c>
      <c r="G7" s="128"/>
      <c r="H7" s="128">
        <f>0.66/1000</f>
        <v>6.6E-4</v>
      </c>
      <c r="I7" s="7" t="s">
        <v>487</v>
      </c>
      <c r="J7" s="7" t="s">
        <v>420</v>
      </c>
      <c r="K7" s="405">
        <v>2022</v>
      </c>
      <c r="L7" s="406" t="s">
        <v>479</v>
      </c>
    </row>
    <row r="8" spans="1:12" x14ac:dyDescent="0.35">
      <c r="A8" s="7" t="s">
        <v>475</v>
      </c>
      <c r="B8" s="403" t="s">
        <v>492</v>
      </c>
      <c r="C8" s="419" t="s">
        <v>493</v>
      </c>
      <c r="D8" s="419" t="s">
        <v>492</v>
      </c>
      <c r="E8" s="420" t="s">
        <v>494</v>
      </c>
      <c r="F8" s="407">
        <f t="shared" si="1"/>
        <v>1.9720138240237602E-2</v>
      </c>
      <c r="G8" s="320"/>
      <c r="H8" s="128">
        <f>0.0744156160008966/1000</f>
        <v>7.4415616000896611E-5</v>
      </c>
      <c r="I8" s="7" t="s">
        <v>487</v>
      </c>
      <c r="J8" s="7" t="s">
        <v>420</v>
      </c>
      <c r="K8" s="405">
        <v>2022</v>
      </c>
      <c r="L8" s="406" t="s">
        <v>479</v>
      </c>
    </row>
    <row r="9" spans="1:12" x14ac:dyDescent="0.35">
      <c r="A9" s="7" t="s">
        <v>475</v>
      </c>
      <c r="B9" s="403" t="s">
        <v>495</v>
      </c>
      <c r="C9" s="419" t="s">
        <v>495</v>
      </c>
      <c r="D9" s="419" t="s">
        <v>495</v>
      </c>
      <c r="E9" s="420" t="s">
        <v>496</v>
      </c>
      <c r="F9" s="407">
        <f t="shared" si="1"/>
        <v>2.970717948717946E-2</v>
      </c>
      <c r="G9" s="320"/>
      <c r="H9" s="128">
        <f>0.112102564102564/1000</f>
        <v>1.12102564102564E-4</v>
      </c>
      <c r="I9" s="7" t="s">
        <v>487</v>
      </c>
      <c r="J9" s="7" t="s">
        <v>420</v>
      </c>
      <c r="K9" s="405">
        <v>2022</v>
      </c>
      <c r="L9" s="406" t="s">
        <v>479</v>
      </c>
    </row>
    <row r="10" spans="1:12" x14ac:dyDescent="0.35">
      <c r="A10" s="7" t="s">
        <v>475</v>
      </c>
      <c r="B10" s="403" t="s">
        <v>497</v>
      </c>
      <c r="C10" s="419" t="s">
        <v>497</v>
      </c>
      <c r="D10" s="419" t="s">
        <v>497</v>
      </c>
      <c r="E10" s="420" t="s">
        <v>498</v>
      </c>
      <c r="F10" s="407">
        <f t="shared" si="1"/>
        <v>1.8550000000000001E-2</v>
      </c>
      <c r="G10" s="320"/>
      <c r="H10" s="128">
        <f>0.07/1000</f>
        <v>7.0000000000000007E-5</v>
      </c>
      <c r="I10" s="7" t="s">
        <v>487</v>
      </c>
      <c r="J10" s="7" t="s">
        <v>420</v>
      </c>
      <c r="K10" s="405">
        <v>2022</v>
      </c>
      <c r="L10" s="406" t="s">
        <v>479</v>
      </c>
    </row>
    <row r="11" spans="1:12" x14ac:dyDescent="0.35">
      <c r="A11" s="7" t="s">
        <v>475</v>
      </c>
      <c r="B11" s="403" t="s">
        <v>499</v>
      </c>
      <c r="C11" s="419" t="s">
        <v>500</v>
      </c>
      <c r="D11" s="419" t="s">
        <v>499</v>
      </c>
      <c r="E11" s="420" t="s">
        <v>501</v>
      </c>
      <c r="F11" s="407">
        <f t="shared" si="1"/>
        <v>7.3858864553760784E-2</v>
      </c>
      <c r="G11" s="320"/>
      <c r="H11" s="128">
        <f>0.278712696429286/1000</f>
        <v>2.7871269642928596E-4</v>
      </c>
      <c r="I11" s="7" t="s">
        <v>487</v>
      </c>
      <c r="J11" s="7" t="s">
        <v>420</v>
      </c>
      <c r="K11" s="405">
        <v>2022</v>
      </c>
      <c r="L11" s="406" t="s">
        <v>479</v>
      </c>
    </row>
    <row r="12" spans="1:12" x14ac:dyDescent="0.35">
      <c r="A12" s="7" t="s">
        <v>475</v>
      </c>
      <c r="B12" s="403" t="s">
        <v>502</v>
      </c>
      <c r="C12" s="419" t="s">
        <v>502</v>
      </c>
      <c r="D12" s="419" t="s">
        <v>502</v>
      </c>
      <c r="E12" s="420" t="s">
        <v>503</v>
      </c>
      <c r="F12" s="407">
        <f t="shared" si="1"/>
        <v>5.945747126436781E-2</v>
      </c>
      <c r="G12" s="320"/>
      <c r="H12" s="128">
        <f>0.224367816091954/1000</f>
        <v>2.24367816091954E-4</v>
      </c>
      <c r="I12" s="7" t="s">
        <v>487</v>
      </c>
      <c r="J12" s="7" t="s">
        <v>420</v>
      </c>
      <c r="K12" s="405">
        <v>2022</v>
      </c>
      <c r="L12" s="406" t="s">
        <v>479</v>
      </c>
    </row>
    <row r="13" spans="1:12" x14ac:dyDescent="0.35">
      <c r="A13" s="7" t="s">
        <v>475</v>
      </c>
      <c r="B13" s="403" t="s">
        <v>504</v>
      </c>
      <c r="C13" s="419" t="s">
        <v>504</v>
      </c>
      <c r="D13" s="419" t="s">
        <v>504</v>
      </c>
      <c r="E13" s="420" t="s">
        <v>505</v>
      </c>
      <c r="F13" s="407">
        <f t="shared" si="1"/>
        <v>8.5725985714591064E-3</v>
      </c>
      <c r="G13" s="320"/>
      <c r="H13" s="128">
        <f>0.0323494285715438/1000</f>
        <v>3.2349428571543798E-5</v>
      </c>
      <c r="I13" s="7" t="s">
        <v>487</v>
      </c>
      <c r="J13" s="7" t="s">
        <v>420</v>
      </c>
      <c r="K13" s="405">
        <v>2022</v>
      </c>
      <c r="L13" s="406" t="s">
        <v>479</v>
      </c>
    </row>
    <row r="14" spans="1:12" x14ac:dyDescent="0.35">
      <c r="A14" s="7" t="s">
        <v>475</v>
      </c>
      <c r="B14" s="403" t="s">
        <v>506</v>
      </c>
      <c r="C14" s="419" t="s">
        <v>507</v>
      </c>
      <c r="D14" s="419" t="s">
        <v>506</v>
      </c>
      <c r="E14" s="420" t="s">
        <v>508</v>
      </c>
      <c r="F14" s="407">
        <f t="shared" si="1"/>
        <v>0.19074893022807837</v>
      </c>
      <c r="G14" s="320"/>
      <c r="H14" s="128">
        <f>0.719807283879541/1000</f>
        <v>7.1980728387954101E-4</v>
      </c>
      <c r="I14" s="7" t="s">
        <v>487</v>
      </c>
      <c r="J14" s="7" t="s">
        <v>420</v>
      </c>
      <c r="K14" s="405">
        <v>2022</v>
      </c>
      <c r="L14" s="406" t="s">
        <v>479</v>
      </c>
    </row>
    <row r="15" spans="1:12" x14ac:dyDescent="0.35">
      <c r="A15" s="7" t="s">
        <v>475</v>
      </c>
      <c r="B15" s="403" t="s">
        <v>509</v>
      </c>
      <c r="C15" s="419" t="s">
        <v>509</v>
      </c>
      <c r="D15" s="419" t="s">
        <v>509</v>
      </c>
      <c r="E15" s="420" t="s">
        <v>510</v>
      </c>
      <c r="F15" s="407">
        <f t="shared" si="1"/>
        <v>2.8063075181918501E-2</v>
      </c>
      <c r="G15" s="408"/>
      <c r="H15" s="409">
        <f>0.1058983969129/1000</f>
        <v>1.058983969129E-4</v>
      </c>
      <c r="I15" s="7" t="s">
        <v>487</v>
      </c>
      <c r="J15" s="7" t="s">
        <v>420</v>
      </c>
      <c r="K15" s="405">
        <v>2022</v>
      </c>
      <c r="L15" s="406" t="s">
        <v>479</v>
      </c>
    </row>
    <row r="16" spans="1:12" x14ac:dyDescent="0.35">
      <c r="A16" s="7" t="s">
        <v>475</v>
      </c>
      <c r="B16" s="403" t="s">
        <v>511</v>
      </c>
      <c r="C16" s="419" t="s">
        <v>511</v>
      </c>
      <c r="D16" s="419" t="s">
        <v>511</v>
      </c>
      <c r="E16" s="420" t="s">
        <v>512</v>
      </c>
      <c r="F16" s="407">
        <f t="shared" si="1"/>
        <v>7.6850000000000002E-2</v>
      </c>
      <c r="G16" s="320"/>
      <c r="H16" s="128">
        <f>0.29/1000</f>
        <v>2.9E-4</v>
      </c>
      <c r="I16" s="7" t="s">
        <v>487</v>
      </c>
      <c r="J16" s="7" t="s">
        <v>420</v>
      </c>
      <c r="K16" s="405">
        <v>2022</v>
      </c>
      <c r="L16" s="406" t="s">
        <v>479</v>
      </c>
    </row>
    <row r="17" spans="1:12" x14ac:dyDescent="0.35">
      <c r="A17" s="7" t="s">
        <v>475</v>
      </c>
      <c r="B17" s="403" t="s">
        <v>513</v>
      </c>
      <c r="C17" s="419" t="s">
        <v>514</v>
      </c>
      <c r="D17" s="419" t="s">
        <v>513</v>
      </c>
      <c r="E17" s="420" t="s">
        <v>515</v>
      </c>
      <c r="F17" s="407">
        <f t="shared" si="1"/>
        <v>7.4161824676572156E-4</v>
      </c>
      <c r="G17" s="320"/>
      <c r="H17" s="128">
        <f>0.00279855942175744/1000</f>
        <v>2.79855942175744E-6</v>
      </c>
      <c r="I17" s="7" t="s">
        <v>487</v>
      </c>
      <c r="J17" s="7" t="s">
        <v>420</v>
      </c>
      <c r="K17" s="405">
        <v>2022</v>
      </c>
      <c r="L17" s="406" t="s">
        <v>479</v>
      </c>
    </row>
    <row r="18" spans="1:12" x14ac:dyDescent="0.35">
      <c r="A18" s="7" t="s">
        <v>475</v>
      </c>
      <c r="B18" s="403" t="s">
        <v>516</v>
      </c>
      <c r="C18" s="419" t="s">
        <v>516</v>
      </c>
      <c r="D18" s="419" t="s">
        <v>516</v>
      </c>
      <c r="E18" s="420" t="s">
        <v>517</v>
      </c>
      <c r="F18" s="407">
        <f t="shared" si="1"/>
        <v>6.3492418571453341E-4</v>
      </c>
      <c r="G18" s="320"/>
      <c r="H18" s="128">
        <f>0.00239594032345107/1000</f>
        <v>2.3959403234510697E-6</v>
      </c>
      <c r="I18" s="7" t="s">
        <v>487</v>
      </c>
      <c r="J18" s="7" t="s">
        <v>420</v>
      </c>
      <c r="K18" s="405">
        <v>2022</v>
      </c>
      <c r="L18" s="406" t="s">
        <v>479</v>
      </c>
    </row>
    <row r="19" spans="1:12" x14ac:dyDescent="0.35">
      <c r="A19" s="7" t="s">
        <v>475</v>
      </c>
      <c r="B19" s="403" t="s">
        <v>518</v>
      </c>
      <c r="C19" s="419" t="s">
        <v>518</v>
      </c>
      <c r="D19" s="419" t="s">
        <v>518</v>
      </c>
      <c r="E19" s="420" t="s">
        <v>519</v>
      </c>
      <c r="F19" s="407">
        <f t="shared" si="1"/>
        <v>2.1379942058150767E-4</v>
      </c>
      <c r="G19" s="320"/>
      <c r="H19" s="128">
        <f>1/1000*0.000806790266345312</f>
        <v>8.0679026634531193E-7</v>
      </c>
      <c r="I19" s="7" t="s">
        <v>487</v>
      </c>
      <c r="J19" s="7" t="s">
        <v>420</v>
      </c>
      <c r="K19" s="405">
        <v>2022</v>
      </c>
      <c r="L19" s="406" t="s">
        <v>479</v>
      </c>
    </row>
    <row r="20" spans="1:12" x14ac:dyDescent="0.35">
      <c r="A20" s="7" t="s">
        <v>475</v>
      </c>
      <c r="B20" s="403" t="s">
        <v>520</v>
      </c>
      <c r="C20" s="419" t="s">
        <v>521</v>
      </c>
      <c r="D20" s="419" t="s">
        <v>520</v>
      </c>
      <c r="E20" s="420" t="s">
        <v>522</v>
      </c>
      <c r="F20" s="407">
        <f t="shared" si="1"/>
        <v>1.8947499999999996E-2</v>
      </c>
      <c r="G20" s="320"/>
      <c r="H20" s="128">
        <f>0.0715/1000</f>
        <v>7.149999999999999E-5</v>
      </c>
      <c r="I20" s="7" t="s">
        <v>487</v>
      </c>
      <c r="J20" s="7" t="s">
        <v>420</v>
      </c>
      <c r="K20" s="405">
        <v>2022</v>
      </c>
      <c r="L20" s="406" t="s">
        <v>479</v>
      </c>
    </row>
    <row r="21" spans="1:12" x14ac:dyDescent="0.35">
      <c r="A21" s="7" t="s">
        <v>475</v>
      </c>
      <c r="B21" s="403" t="s">
        <v>523</v>
      </c>
      <c r="C21" s="419" t="s">
        <v>523</v>
      </c>
      <c r="D21" s="419" t="s">
        <v>523</v>
      </c>
      <c r="E21" s="420" t="s">
        <v>524</v>
      </c>
      <c r="F21" s="407">
        <f t="shared" si="1"/>
        <v>1.6863118279569881E-2</v>
      </c>
      <c r="G21" s="320"/>
      <c r="H21" s="128">
        <f>0.0636344086021505/1000</f>
        <v>6.3634408602150495E-5</v>
      </c>
      <c r="I21" s="7" t="s">
        <v>487</v>
      </c>
      <c r="J21" s="7" t="s">
        <v>420</v>
      </c>
      <c r="K21" s="405">
        <v>2022</v>
      </c>
      <c r="L21" s="406" t="s">
        <v>479</v>
      </c>
    </row>
    <row r="22" spans="1:12" x14ac:dyDescent="0.35">
      <c r="A22" s="7" t="s">
        <v>475</v>
      </c>
      <c r="B22" s="403" t="s">
        <v>525</v>
      </c>
      <c r="C22" s="419" t="s">
        <v>525</v>
      </c>
      <c r="D22" s="419" t="s">
        <v>525</v>
      </c>
      <c r="E22" s="420" t="s">
        <v>526</v>
      </c>
      <c r="F22" s="407">
        <f t="shared" si="1"/>
        <v>1.5899999999999997E-2</v>
      </c>
      <c r="G22" s="320"/>
      <c r="H22" s="128">
        <f>0.06/1000</f>
        <v>5.9999999999999995E-5</v>
      </c>
      <c r="I22" s="7" t="s">
        <v>487</v>
      </c>
      <c r="J22" s="7" t="s">
        <v>420</v>
      </c>
      <c r="K22" s="405">
        <v>2022</v>
      </c>
      <c r="L22" s="406" t="s">
        <v>479</v>
      </c>
    </row>
    <row r="23" spans="1:12" x14ac:dyDescent="0.35">
      <c r="A23" s="7" t="s">
        <v>475</v>
      </c>
      <c r="B23" s="403" t="s">
        <v>527</v>
      </c>
      <c r="C23" s="419" t="s">
        <v>528</v>
      </c>
      <c r="D23" s="419" t="s">
        <v>527</v>
      </c>
      <c r="E23" s="420" t="s">
        <v>529</v>
      </c>
      <c r="F23" s="407">
        <f t="shared" si="1"/>
        <v>1.6143167071354665E-2</v>
      </c>
      <c r="G23" s="320"/>
      <c r="H23" s="128">
        <f>0.0609176115900176/1000</f>
        <v>6.0917611590017602E-5</v>
      </c>
      <c r="I23" s="7" t="s">
        <v>487</v>
      </c>
      <c r="J23" s="7" t="s">
        <v>420</v>
      </c>
      <c r="K23" s="405">
        <v>2022</v>
      </c>
      <c r="L23" s="406" t="s">
        <v>479</v>
      </c>
    </row>
    <row r="24" spans="1:12" x14ac:dyDescent="0.35">
      <c r="A24" s="7" t="s">
        <v>475</v>
      </c>
      <c r="B24" s="403" t="s">
        <v>530</v>
      </c>
      <c r="C24" s="419" t="s">
        <v>530</v>
      </c>
      <c r="D24" s="419" t="s">
        <v>530</v>
      </c>
      <c r="E24" s="420" t="s">
        <v>531</v>
      </c>
      <c r="F24" s="407">
        <f t="shared" si="1"/>
        <v>1.9623659793814439E-2</v>
      </c>
      <c r="G24" s="320"/>
      <c r="H24" s="128">
        <f>0.0740515463917526/1000</f>
        <v>7.4051546391752602E-5</v>
      </c>
      <c r="I24" s="7" t="s">
        <v>487</v>
      </c>
      <c r="J24" s="7" t="s">
        <v>420</v>
      </c>
      <c r="K24" s="405">
        <v>2022</v>
      </c>
      <c r="L24" s="406" t="s">
        <v>479</v>
      </c>
    </row>
    <row r="25" spans="1:12" x14ac:dyDescent="0.35">
      <c r="A25" s="7" t="s">
        <v>475</v>
      </c>
      <c r="B25" s="403" t="s">
        <v>532</v>
      </c>
      <c r="C25" s="419" t="s">
        <v>532</v>
      </c>
      <c r="D25" s="419" t="s">
        <v>532</v>
      </c>
      <c r="E25" s="420" t="s">
        <v>533</v>
      </c>
      <c r="F25" s="407">
        <f t="shared" si="1"/>
        <v>1.3250000000000001E-2</v>
      </c>
      <c r="G25" s="320"/>
      <c r="H25" s="128">
        <f>0.05/1000</f>
        <v>5.0000000000000002E-5</v>
      </c>
      <c r="I25" s="7" t="s">
        <v>487</v>
      </c>
      <c r="J25" s="7" t="s">
        <v>420</v>
      </c>
      <c r="K25" s="405">
        <v>2022</v>
      </c>
      <c r="L25" s="406" t="s">
        <v>479</v>
      </c>
    </row>
    <row r="26" spans="1:12" x14ac:dyDescent="0.35">
      <c r="A26" s="7" t="s">
        <v>475</v>
      </c>
      <c r="B26" s="403" t="s">
        <v>534</v>
      </c>
      <c r="C26" s="419" t="s">
        <v>535</v>
      </c>
      <c r="D26" s="419" t="s">
        <v>534</v>
      </c>
      <c r="E26" s="420" t="s">
        <v>536</v>
      </c>
      <c r="F26" s="407">
        <f t="shared" si="1"/>
        <v>2.4420983122119531E-3</v>
      </c>
      <c r="G26" s="320"/>
      <c r="H26" s="128">
        <f>0.00921546532910171/1000</f>
        <v>9.21546532910171E-6</v>
      </c>
      <c r="I26" s="7" t="s">
        <v>487</v>
      </c>
      <c r="J26" s="7" t="s">
        <v>420</v>
      </c>
      <c r="K26" s="405">
        <v>2022</v>
      </c>
      <c r="L26" s="406" t="s">
        <v>479</v>
      </c>
    </row>
    <row r="27" spans="1:12" x14ac:dyDescent="0.35">
      <c r="A27" s="7" t="s">
        <v>475</v>
      </c>
      <c r="B27" s="403" t="s">
        <v>537</v>
      </c>
      <c r="C27" s="419" t="s">
        <v>537</v>
      </c>
      <c r="D27" s="419" t="s">
        <v>537</v>
      </c>
      <c r="E27" s="420" t="s">
        <v>538</v>
      </c>
      <c r="F27" s="407">
        <f t="shared" si="1"/>
        <v>1.0781231081519979E-2</v>
      </c>
      <c r="G27" s="320"/>
      <c r="H27" s="128">
        <f>0.0406838908736603/1000</f>
        <v>4.06838908736603E-5</v>
      </c>
      <c r="I27" s="7" t="s">
        <v>487</v>
      </c>
      <c r="J27" s="7" t="s">
        <v>420</v>
      </c>
      <c r="K27" s="405">
        <v>2022</v>
      </c>
      <c r="L27" s="406" t="s">
        <v>479</v>
      </c>
    </row>
    <row r="28" spans="1:12" x14ac:dyDescent="0.35">
      <c r="A28" s="7" t="s">
        <v>475</v>
      </c>
      <c r="B28" s="403" t="s">
        <v>539</v>
      </c>
      <c r="C28" s="419" t="s">
        <v>539</v>
      </c>
      <c r="D28" s="419" t="s">
        <v>539</v>
      </c>
      <c r="E28" s="420" t="s">
        <v>540</v>
      </c>
      <c r="F28" s="407">
        <f t="shared" si="1"/>
        <v>2.7236680713540623E-3</v>
      </c>
      <c r="G28" s="320"/>
      <c r="H28" s="128">
        <f>1/1000*0.0102779927220908</f>
        <v>1.02779927220908E-5</v>
      </c>
      <c r="I28" s="7" t="s">
        <v>487</v>
      </c>
      <c r="J28" s="7" t="s">
        <v>420</v>
      </c>
      <c r="K28" s="405">
        <v>2022</v>
      </c>
      <c r="L28" s="406" t="s">
        <v>479</v>
      </c>
    </row>
    <row r="29" spans="1:12" x14ac:dyDescent="0.35">
      <c r="A29" s="7" t="s">
        <v>475</v>
      </c>
      <c r="B29" s="403" t="s">
        <v>541</v>
      </c>
      <c r="C29" s="419" t="s">
        <v>542</v>
      </c>
      <c r="D29" s="419" t="s">
        <v>541</v>
      </c>
      <c r="E29" s="420" t="s">
        <v>543</v>
      </c>
      <c r="F29" s="404">
        <f>0.13/1000</f>
        <v>1.3000000000000002E-4</v>
      </c>
      <c r="G29" s="320"/>
      <c r="H29" s="320">
        <v>1.0000000000000001E-5</v>
      </c>
      <c r="I29" s="7" t="s">
        <v>123</v>
      </c>
      <c r="J29" s="7" t="s">
        <v>420</v>
      </c>
      <c r="K29" s="405">
        <v>2024</v>
      </c>
      <c r="L29" s="406" t="s">
        <v>479</v>
      </c>
    </row>
    <row r="30" spans="1:12" x14ac:dyDescent="0.35">
      <c r="A30" s="7" t="s">
        <v>475</v>
      </c>
      <c r="B30" s="403" t="s">
        <v>544</v>
      </c>
      <c r="C30" s="419" t="s">
        <v>544</v>
      </c>
      <c r="D30" s="419" t="s">
        <v>544</v>
      </c>
      <c r="E30" s="420" t="s">
        <v>545</v>
      </c>
      <c r="F30" s="404">
        <f>0.130000000000002/1000</f>
        <v>1.3000000000000199E-4</v>
      </c>
      <c r="G30" s="320"/>
      <c r="H30" s="320"/>
      <c r="I30" s="7" t="s">
        <v>123</v>
      </c>
      <c r="J30" s="7" t="s">
        <v>420</v>
      </c>
      <c r="K30" s="405">
        <v>2024</v>
      </c>
      <c r="L30" s="406" t="s">
        <v>479</v>
      </c>
    </row>
    <row r="31" spans="1:12" x14ac:dyDescent="0.35">
      <c r="A31" s="7" t="s">
        <v>475</v>
      </c>
      <c r="B31" s="403" t="s">
        <v>546</v>
      </c>
      <c r="C31" s="419" t="s">
        <v>546</v>
      </c>
      <c r="D31" s="419" t="s">
        <v>546</v>
      </c>
      <c r="E31" s="420" t="s">
        <v>547</v>
      </c>
      <c r="F31" s="404">
        <f>0.130000000000002/1000</f>
        <v>1.3000000000000199E-4</v>
      </c>
      <c r="G31" s="320"/>
      <c r="H31" s="320"/>
      <c r="I31" s="7" t="s">
        <v>123</v>
      </c>
      <c r="J31" s="7" t="s">
        <v>420</v>
      </c>
      <c r="K31" s="405">
        <v>2024</v>
      </c>
      <c r="L31" s="406" t="s">
        <v>479</v>
      </c>
    </row>
    <row r="32" spans="1:12" x14ac:dyDescent="0.35">
      <c r="A32" s="7" t="s">
        <v>475</v>
      </c>
      <c r="B32" s="403" t="s">
        <v>548</v>
      </c>
      <c r="C32" s="419" t="s">
        <v>549</v>
      </c>
      <c r="D32" s="419" t="s">
        <v>548</v>
      </c>
      <c r="E32" s="420" t="s">
        <v>550</v>
      </c>
      <c r="F32" s="404">
        <f>265*H32/1000</f>
        <v>2.6500000000000115E-6</v>
      </c>
      <c r="G32" s="320"/>
      <c r="H32" s="320">
        <v>1.0000000000000043E-5</v>
      </c>
      <c r="I32" s="7" t="s">
        <v>123</v>
      </c>
      <c r="J32" s="7" t="s">
        <v>420</v>
      </c>
      <c r="K32" s="405">
        <v>2024</v>
      </c>
      <c r="L32" s="406" t="s">
        <v>479</v>
      </c>
    </row>
    <row r="33" spans="1:12" x14ac:dyDescent="0.35">
      <c r="A33" s="7" t="s">
        <v>475</v>
      </c>
      <c r="B33" s="403" t="s">
        <v>551</v>
      </c>
      <c r="C33" s="419" t="s">
        <v>551</v>
      </c>
      <c r="D33" s="419" t="s">
        <v>551</v>
      </c>
      <c r="E33" s="420" t="s">
        <v>552</v>
      </c>
      <c r="F33" s="404">
        <f t="shared" ref="F33:F34" si="2">265*H33/1000</f>
        <v>2.6499999999999704E-6</v>
      </c>
      <c r="G33" s="320"/>
      <c r="H33" s="320">
        <v>9.999999999999889E-6</v>
      </c>
      <c r="I33" s="7" t="s">
        <v>123</v>
      </c>
      <c r="J33" s="7" t="s">
        <v>420</v>
      </c>
      <c r="K33" s="405">
        <v>2024</v>
      </c>
      <c r="L33" s="406" t="s">
        <v>479</v>
      </c>
    </row>
    <row r="34" spans="1:12" x14ac:dyDescent="0.35">
      <c r="A34" s="7" t="s">
        <v>475</v>
      </c>
      <c r="B34" s="403" t="s">
        <v>553</v>
      </c>
      <c r="C34" s="419" t="s">
        <v>553</v>
      </c>
      <c r="D34" s="419" t="s">
        <v>553</v>
      </c>
      <c r="E34" s="420" t="s">
        <v>554</v>
      </c>
      <c r="F34" s="404">
        <f t="shared" si="2"/>
        <v>2.649999999999995E-6</v>
      </c>
      <c r="G34" s="320"/>
      <c r="H34" s="320">
        <v>9.9999999999999805E-6</v>
      </c>
      <c r="I34" s="7" t="s">
        <v>123</v>
      </c>
      <c r="J34" s="7" t="s">
        <v>420</v>
      </c>
      <c r="K34" s="405">
        <v>2024</v>
      </c>
      <c r="L34" s="406" t="s">
        <v>479</v>
      </c>
    </row>
    <row r="35" spans="1:12" x14ac:dyDescent="0.35">
      <c r="A35" s="7" t="s">
        <v>475</v>
      </c>
      <c r="B35" s="403" t="s">
        <v>555</v>
      </c>
      <c r="C35" s="419" t="s">
        <v>556</v>
      </c>
      <c r="D35" s="419" t="s">
        <v>555</v>
      </c>
      <c r="E35" s="420" t="s">
        <v>557</v>
      </c>
      <c r="F35" s="404">
        <f>0.12/1000</f>
        <v>1.1999999999999999E-4</v>
      </c>
      <c r="G35" s="320"/>
      <c r="H35" s="320"/>
      <c r="I35" s="7" t="s">
        <v>123</v>
      </c>
      <c r="J35" s="7" t="s">
        <v>420</v>
      </c>
      <c r="K35" s="405">
        <v>2024</v>
      </c>
      <c r="L35" s="406" t="s">
        <v>479</v>
      </c>
    </row>
    <row r="36" spans="1:12" x14ac:dyDescent="0.35">
      <c r="A36" s="7" t="s">
        <v>475</v>
      </c>
      <c r="B36" s="7" t="s">
        <v>558</v>
      </c>
      <c r="C36" s="421" t="s">
        <v>558</v>
      </c>
      <c r="D36" s="421" t="s">
        <v>558</v>
      </c>
      <c r="E36" s="422" t="s">
        <v>559</v>
      </c>
      <c r="F36" s="410">
        <f>0.12/1000</f>
        <v>1.1999999999999999E-4</v>
      </c>
      <c r="G36" s="320"/>
      <c r="H36" s="320"/>
      <c r="I36" s="7" t="s">
        <v>123</v>
      </c>
      <c r="J36" s="7" t="s">
        <v>420</v>
      </c>
      <c r="K36" s="405">
        <v>2024</v>
      </c>
      <c r="L36" s="406" t="s">
        <v>479</v>
      </c>
    </row>
    <row r="37" spans="1:12" x14ac:dyDescent="0.35">
      <c r="A37" s="7" t="s">
        <v>475</v>
      </c>
      <c r="B37" s="7" t="s">
        <v>560</v>
      </c>
      <c r="C37" s="421" t="s">
        <v>560</v>
      </c>
      <c r="D37" s="421" t="s">
        <v>560</v>
      </c>
      <c r="E37" s="422" t="s">
        <v>561</v>
      </c>
      <c r="F37" s="410">
        <f>0.12/1000</f>
        <v>1.1999999999999999E-4</v>
      </c>
      <c r="G37" s="320"/>
      <c r="H37" s="320"/>
      <c r="I37" s="7" t="s">
        <v>123</v>
      </c>
      <c r="J37" s="7" t="s">
        <v>420</v>
      </c>
      <c r="K37" s="405">
        <v>2024</v>
      </c>
      <c r="L37" s="406" t="s">
        <v>479</v>
      </c>
    </row>
    <row r="38" spans="1:12" x14ac:dyDescent="0.35">
      <c r="A38" s="7" t="s">
        <v>475</v>
      </c>
      <c r="B38" s="391" t="s">
        <v>562</v>
      </c>
      <c r="C38" s="421" t="s">
        <v>563</v>
      </c>
      <c r="D38" s="421" t="s">
        <v>562</v>
      </c>
      <c r="E38" s="422" t="s">
        <v>564</v>
      </c>
      <c r="F38" s="411">
        <f>265*H38/1000</f>
        <v>2.6500000005278388E-6</v>
      </c>
      <c r="G38" s="320"/>
      <c r="H38" s="320">
        <v>1.0000000001991845E-5</v>
      </c>
      <c r="I38" s="7" t="s">
        <v>123</v>
      </c>
      <c r="J38" s="7" t="s">
        <v>420</v>
      </c>
      <c r="K38" s="405">
        <v>2024</v>
      </c>
      <c r="L38" s="406" t="s">
        <v>479</v>
      </c>
    </row>
    <row r="39" spans="1:12" x14ac:dyDescent="0.35">
      <c r="A39" s="7" t="s">
        <v>475</v>
      </c>
      <c r="B39" s="391" t="s">
        <v>565</v>
      </c>
      <c r="C39" s="421" t="s">
        <v>565</v>
      </c>
      <c r="D39" s="421" t="s">
        <v>565</v>
      </c>
      <c r="E39" s="422" t="s">
        <v>566</v>
      </c>
      <c r="F39" s="411">
        <f t="shared" ref="F39:F40" si="3">265*H39/1000</f>
        <v>2.6500000000003664E-6</v>
      </c>
      <c r="G39" s="320"/>
      <c r="H39" s="320">
        <v>1.0000000000001383E-5</v>
      </c>
      <c r="I39" s="7" t="s">
        <v>123</v>
      </c>
      <c r="J39" s="7" t="s">
        <v>420</v>
      </c>
      <c r="K39" s="405">
        <v>2024</v>
      </c>
      <c r="L39" s="406" t="s">
        <v>479</v>
      </c>
    </row>
    <row r="40" spans="1:12" x14ac:dyDescent="0.35">
      <c r="A40" s="7" t="s">
        <v>475</v>
      </c>
      <c r="B40" s="391" t="s">
        <v>567</v>
      </c>
      <c r="C40" s="421" t="s">
        <v>567</v>
      </c>
      <c r="D40" s="421" t="s">
        <v>567</v>
      </c>
      <c r="E40" s="422" t="s">
        <v>568</v>
      </c>
      <c r="F40" s="411">
        <f t="shared" si="3"/>
        <v>2.6499999999999814E-6</v>
      </c>
      <c r="G40" s="320"/>
      <c r="H40" s="320">
        <v>9.9999999999999297E-6</v>
      </c>
      <c r="I40" s="7" t="s">
        <v>123</v>
      </c>
      <c r="J40" s="7" t="s">
        <v>420</v>
      </c>
      <c r="K40" s="405">
        <v>2024</v>
      </c>
      <c r="L40" s="406" t="s">
        <v>479</v>
      </c>
    </row>
    <row r="41" spans="1:12" x14ac:dyDescent="0.35">
      <c r="A41" s="7" t="s">
        <v>569</v>
      </c>
      <c r="B41" s="7" t="s">
        <v>570</v>
      </c>
      <c r="C41" s="421" t="s">
        <v>570</v>
      </c>
      <c r="D41" s="421" t="s">
        <v>570</v>
      </c>
      <c r="E41" s="422" t="s">
        <v>570</v>
      </c>
      <c r="F41" s="412">
        <f>0.01454/1000</f>
        <v>1.4540000000000001E-5</v>
      </c>
      <c r="G41" s="128">
        <v>4.8048250000000001E-2</v>
      </c>
      <c r="H41" s="128">
        <v>0</v>
      </c>
      <c r="I41" s="7" t="s">
        <v>68</v>
      </c>
      <c r="J41" s="7" t="s">
        <v>420</v>
      </c>
      <c r="K41" s="405">
        <v>2024</v>
      </c>
      <c r="L41" s="406" t="s">
        <v>571</v>
      </c>
    </row>
    <row r="42" spans="1:12" x14ac:dyDescent="0.35">
      <c r="A42" s="7" t="s">
        <v>569</v>
      </c>
      <c r="B42" s="7" t="s">
        <v>572</v>
      </c>
      <c r="C42" s="421" t="s">
        <v>572</v>
      </c>
      <c r="D42" s="421" t="s">
        <v>572</v>
      </c>
      <c r="E42" s="422" t="s">
        <v>572</v>
      </c>
      <c r="F42" s="412">
        <f>1000*0.00001454</f>
        <v>1.4539999999999999E-2</v>
      </c>
      <c r="G42" s="128">
        <v>1.2919999999999999E-2</v>
      </c>
      <c r="H42" s="128">
        <v>0</v>
      </c>
      <c r="I42" s="7" t="s">
        <v>72</v>
      </c>
      <c r="J42" s="7" t="s">
        <v>420</v>
      </c>
      <c r="K42" s="405">
        <v>2024</v>
      </c>
      <c r="L42" s="406" t="s">
        <v>571</v>
      </c>
    </row>
    <row r="43" spans="1:12" x14ac:dyDescent="0.35">
      <c r="A43" s="7" t="s">
        <v>569</v>
      </c>
      <c r="B43" s="7" t="s">
        <v>573</v>
      </c>
      <c r="C43" s="421" t="s">
        <v>574</v>
      </c>
      <c r="D43" s="421" t="s">
        <v>574</v>
      </c>
      <c r="E43" s="422" t="s">
        <v>574</v>
      </c>
      <c r="F43" s="412">
        <f>54.08777/1000</f>
        <v>5.408777E-2</v>
      </c>
      <c r="G43" s="128">
        <v>1.292E-5</v>
      </c>
      <c r="H43" s="128">
        <v>0</v>
      </c>
      <c r="I43" s="7" t="s">
        <v>70</v>
      </c>
      <c r="J43" s="7" t="s">
        <v>420</v>
      </c>
      <c r="K43" s="405">
        <v>2024</v>
      </c>
      <c r="L43" s="406" t="s">
        <v>571</v>
      </c>
    </row>
    <row r="44" spans="1:12" x14ac:dyDescent="0.35">
      <c r="A44" s="7" t="s">
        <v>569</v>
      </c>
      <c r="B44" s="7" t="s">
        <v>575</v>
      </c>
      <c r="C44" s="421" t="s">
        <v>575</v>
      </c>
      <c r="D44" s="421" t="s">
        <v>575</v>
      </c>
      <c r="E44" s="422" t="s">
        <v>575</v>
      </c>
      <c r="F44" s="412">
        <f>0.01132/1000</f>
        <v>1.132E-5</v>
      </c>
      <c r="G44" s="128">
        <v>5.0554589999999996E-2</v>
      </c>
      <c r="H44" s="128">
        <v>0</v>
      </c>
      <c r="I44" s="7" t="s">
        <v>68</v>
      </c>
      <c r="J44" s="7" t="s">
        <v>420</v>
      </c>
      <c r="K44" s="405">
        <v>2024</v>
      </c>
      <c r="L44" s="406" t="s">
        <v>571</v>
      </c>
    </row>
    <row r="45" spans="1:12" x14ac:dyDescent="0.35">
      <c r="A45" s="7" t="s">
        <v>569</v>
      </c>
      <c r="B45" s="7" t="s">
        <v>576</v>
      </c>
      <c r="C45" s="421" t="s">
        <v>576</v>
      </c>
      <c r="D45" s="421" t="s">
        <v>576</v>
      </c>
      <c r="E45" s="422" t="s">
        <v>576</v>
      </c>
      <c r="F45" s="412">
        <f>1000*0.00001132</f>
        <v>1.132E-2</v>
      </c>
      <c r="G45" s="128">
        <v>1.0529999999999999E-2</v>
      </c>
      <c r="H45" s="128">
        <v>0</v>
      </c>
      <c r="I45" s="7" t="s">
        <v>72</v>
      </c>
      <c r="J45" s="7" t="s">
        <v>420</v>
      </c>
      <c r="K45" s="405">
        <v>2024</v>
      </c>
      <c r="L45" s="406" t="s">
        <v>571</v>
      </c>
    </row>
    <row r="46" spans="1:12" x14ac:dyDescent="0.35">
      <c r="A46" s="7" t="s">
        <v>569</v>
      </c>
      <c r="B46" s="7" t="s">
        <v>577</v>
      </c>
      <c r="C46" s="421" t="s">
        <v>578</v>
      </c>
      <c r="D46" s="421" t="s">
        <v>578</v>
      </c>
      <c r="E46" s="422" t="s">
        <v>578</v>
      </c>
      <c r="F46" s="412">
        <f>42.76487/1000</f>
        <v>4.2764870000000003E-2</v>
      </c>
      <c r="G46" s="128">
        <v>1.0529999999999999E-5</v>
      </c>
      <c r="H46" s="128">
        <v>0</v>
      </c>
      <c r="I46" s="7" t="s">
        <v>70</v>
      </c>
      <c r="J46" s="7" t="s">
        <v>420</v>
      </c>
      <c r="K46" s="405">
        <v>2024</v>
      </c>
      <c r="L46" s="406" t="s">
        <v>571</v>
      </c>
    </row>
    <row r="47" spans="1:12" x14ac:dyDescent="0.35">
      <c r="A47" s="7" t="s">
        <v>569</v>
      </c>
      <c r="B47" s="7" t="s">
        <v>579</v>
      </c>
      <c r="C47" s="421" t="s">
        <v>579</v>
      </c>
      <c r="D47" s="421" t="s">
        <v>579</v>
      </c>
      <c r="E47" s="422" t="s">
        <v>579</v>
      </c>
      <c r="F47" s="412">
        <f>0.01132/1000</f>
        <v>1.132E-5</v>
      </c>
      <c r="G47" s="128">
        <v>4.3035760000000006E-2</v>
      </c>
      <c r="H47" s="128">
        <v>0</v>
      </c>
      <c r="I47" s="7" t="s">
        <v>68</v>
      </c>
      <c r="J47" s="7" t="s">
        <v>420</v>
      </c>
      <c r="K47" s="405">
        <v>2024</v>
      </c>
      <c r="L47" s="406" t="s">
        <v>571</v>
      </c>
    </row>
    <row r="48" spans="1:12" x14ac:dyDescent="0.35">
      <c r="A48" s="7" t="s">
        <v>569</v>
      </c>
      <c r="B48" s="7" t="s">
        <v>580</v>
      </c>
      <c r="C48" s="421" t="s">
        <v>580</v>
      </c>
      <c r="D48" s="421" t="s">
        <v>580</v>
      </c>
      <c r="E48" s="422" t="s">
        <v>580</v>
      </c>
      <c r="F48" s="412">
        <f>1000*0.00001132</f>
        <v>1.132E-2</v>
      </c>
      <c r="G48" s="128">
        <v>1.0529999999999999E-2</v>
      </c>
      <c r="H48" s="128">
        <v>0</v>
      </c>
      <c r="I48" s="7" t="s">
        <v>72</v>
      </c>
      <c r="J48" s="7" t="s">
        <v>420</v>
      </c>
      <c r="K48" s="405">
        <v>2024</v>
      </c>
      <c r="L48" s="406" t="s">
        <v>571</v>
      </c>
    </row>
    <row r="49" spans="1:12" x14ac:dyDescent="0.35">
      <c r="A49" s="7" t="s">
        <v>569</v>
      </c>
      <c r="B49" s="7" t="s">
        <v>581</v>
      </c>
      <c r="C49" s="421" t="s">
        <v>582</v>
      </c>
      <c r="D49" s="421" t="s">
        <v>582</v>
      </c>
      <c r="E49" s="422" t="s">
        <v>582</v>
      </c>
      <c r="F49" s="412">
        <f>46.25524/1000</f>
        <v>4.6255240000000003E-2</v>
      </c>
      <c r="G49" s="133">
        <v>1.0530000000000001E-5</v>
      </c>
      <c r="H49" s="133">
        <v>0</v>
      </c>
      <c r="I49" s="7" t="s">
        <v>70</v>
      </c>
      <c r="J49" s="7" t="s">
        <v>420</v>
      </c>
      <c r="K49" s="405">
        <v>2024</v>
      </c>
      <c r="L49" s="406" t="s">
        <v>571</v>
      </c>
    </row>
    <row r="50" spans="1:12" x14ac:dyDescent="0.35">
      <c r="A50" s="7" t="s">
        <v>569</v>
      </c>
      <c r="B50" s="7" t="s">
        <v>583</v>
      </c>
      <c r="C50" s="421" t="s">
        <v>583</v>
      </c>
      <c r="D50" s="421" t="s">
        <v>583</v>
      </c>
      <c r="E50" s="422" t="s">
        <v>583</v>
      </c>
      <c r="F50" s="412">
        <f>0.01132/1000</f>
        <v>1.132E-5</v>
      </c>
      <c r="G50" s="128">
        <v>5.0554589999999996E-2</v>
      </c>
      <c r="H50" s="128">
        <v>0</v>
      </c>
      <c r="I50" s="7" t="s">
        <v>68</v>
      </c>
      <c r="J50" s="7" t="s">
        <v>420</v>
      </c>
      <c r="K50" s="405">
        <v>2024</v>
      </c>
      <c r="L50" s="406" t="s">
        <v>571</v>
      </c>
    </row>
    <row r="51" spans="1:12" x14ac:dyDescent="0.35">
      <c r="A51" s="7" t="s">
        <v>569</v>
      </c>
      <c r="B51" s="7" t="s">
        <v>584</v>
      </c>
      <c r="C51" s="421" t="s">
        <v>584</v>
      </c>
      <c r="D51" s="421" t="s">
        <v>584</v>
      </c>
      <c r="E51" s="422" t="s">
        <v>584</v>
      </c>
      <c r="F51" s="412">
        <f>1000*0.00001132</f>
        <v>1.132E-2</v>
      </c>
      <c r="G51" s="128">
        <v>1.0529999999999999E-2</v>
      </c>
      <c r="H51" s="128">
        <v>0</v>
      </c>
      <c r="I51" s="7" t="s">
        <v>72</v>
      </c>
      <c r="J51" s="7" t="s">
        <v>420</v>
      </c>
      <c r="K51" s="405">
        <v>2024</v>
      </c>
      <c r="L51" s="406" t="s">
        <v>571</v>
      </c>
    </row>
    <row r="52" spans="1:12" x14ac:dyDescent="0.35">
      <c r="A52" s="7" t="s">
        <v>569</v>
      </c>
      <c r="B52" s="7" t="s">
        <v>585</v>
      </c>
      <c r="C52" s="421" t="s">
        <v>586</v>
      </c>
      <c r="D52" s="421" t="s">
        <v>586</v>
      </c>
      <c r="E52" s="422" t="s">
        <v>586</v>
      </c>
      <c r="F52" s="412">
        <f>54.33654/1000</f>
        <v>5.4336540000000003E-2</v>
      </c>
      <c r="G52" s="128">
        <v>1.0529999999999999E-5</v>
      </c>
      <c r="H52" s="128">
        <v>0</v>
      </c>
      <c r="I52" s="7" t="s">
        <v>70</v>
      </c>
      <c r="J52" s="7" t="s">
        <v>420</v>
      </c>
      <c r="K52" s="405">
        <v>2024</v>
      </c>
      <c r="L52" s="406" t="s">
        <v>571</v>
      </c>
    </row>
    <row r="53" spans="1:12" x14ac:dyDescent="0.35">
      <c r="A53" s="7" t="s">
        <v>587</v>
      </c>
      <c r="B53" s="7" t="s">
        <v>588</v>
      </c>
      <c r="C53" s="421" t="s">
        <v>589</v>
      </c>
      <c r="D53" s="421" t="s">
        <v>589</v>
      </c>
      <c r="E53" s="422" t="s">
        <v>589</v>
      </c>
      <c r="F53" s="412">
        <v>8.406100000000001E-4</v>
      </c>
      <c r="G53" s="128"/>
      <c r="H53" s="128"/>
      <c r="I53" s="7" t="s">
        <v>117</v>
      </c>
      <c r="J53" s="7" t="s">
        <v>420</v>
      </c>
      <c r="K53" s="405">
        <v>2024</v>
      </c>
      <c r="L53" s="406" t="s">
        <v>571</v>
      </c>
    </row>
    <row r="54" spans="1:12" x14ac:dyDescent="0.35">
      <c r="A54" s="7" t="s">
        <v>587</v>
      </c>
      <c r="B54" s="7" t="s">
        <v>590</v>
      </c>
      <c r="C54" s="421" t="s">
        <v>591</v>
      </c>
      <c r="D54" s="421" t="s">
        <v>591</v>
      </c>
      <c r="E54" s="422" t="s">
        <v>591</v>
      </c>
      <c r="F54" s="412">
        <v>2.3574999999999998E-4</v>
      </c>
      <c r="G54" s="128"/>
      <c r="H54" s="128"/>
      <c r="I54" s="7" t="s">
        <v>117</v>
      </c>
      <c r="J54" s="7" t="s">
        <v>420</v>
      </c>
      <c r="K54" s="405">
        <v>2024</v>
      </c>
      <c r="L54" s="406" t="s">
        <v>571</v>
      </c>
    </row>
    <row r="55" spans="1:12" x14ac:dyDescent="0.35">
      <c r="A55" s="7" t="s">
        <v>587</v>
      </c>
      <c r="B55" s="7" t="s">
        <v>592</v>
      </c>
      <c r="C55" s="421" t="s">
        <v>593</v>
      </c>
      <c r="D55" s="421" t="s">
        <v>593</v>
      </c>
      <c r="E55" s="422" t="s">
        <v>593</v>
      </c>
      <c r="F55" s="412">
        <v>2.3155999999999999E-4</v>
      </c>
      <c r="G55" s="128"/>
      <c r="H55" s="128"/>
      <c r="I55" s="7" t="s">
        <v>117</v>
      </c>
      <c r="J55" s="7" t="s">
        <v>420</v>
      </c>
      <c r="K55" s="405">
        <v>2024</v>
      </c>
      <c r="L55" s="406" t="s">
        <v>571</v>
      </c>
    </row>
    <row r="56" spans="1:12" x14ac:dyDescent="0.35">
      <c r="A56" s="7" t="s">
        <v>587</v>
      </c>
      <c r="B56" s="7" t="s">
        <v>594</v>
      </c>
      <c r="C56" s="421" t="s">
        <v>595</v>
      </c>
      <c r="D56" s="421" t="s">
        <v>595</v>
      </c>
      <c r="E56" s="422" t="s">
        <v>595</v>
      </c>
      <c r="F56" s="412">
        <v>2.5923999999999999E-4</v>
      </c>
      <c r="G56" s="128"/>
      <c r="H56" s="128"/>
      <c r="I56" s="7" t="s">
        <v>117</v>
      </c>
      <c r="J56" s="7" t="s">
        <v>420</v>
      </c>
      <c r="K56" s="405">
        <v>2024</v>
      </c>
      <c r="L56" s="406" t="s">
        <v>571</v>
      </c>
    </row>
    <row r="57" spans="1:12" x14ac:dyDescent="0.35">
      <c r="A57" s="7" t="s">
        <v>587</v>
      </c>
      <c r="B57" s="7" t="s">
        <v>596</v>
      </c>
      <c r="C57" s="421" t="s">
        <v>597</v>
      </c>
      <c r="D57" s="421" t="s">
        <v>597</v>
      </c>
      <c r="E57" s="422" t="s">
        <v>597</v>
      </c>
      <c r="F57" s="412">
        <v>2.1331999999999997E-4</v>
      </c>
      <c r="G57" s="128"/>
      <c r="H57" s="128"/>
      <c r="I57" s="7" t="s">
        <v>117</v>
      </c>
      <c r="J57" s="7" t="s">
        <v>420</v>
      </c>
      <c r="K57" s="405">
        <v>2024</v>
      </c>
      <c r="L57" s="406" t="s">
        <v>571</v>
      </c>
    </row>
    <row r="58" spans="1:12" x14ac:dyDescent="0.35">
      <c r="A58" s="7" t="s">
        <v>587</v>
      </c>
      <c r="B58" s="7" t="s">
        <v>598</v>
      </c>
      <c r="C58" s="421" t="s">
        <v>599</v>
      </c>
      <c r="D58" s="421" t="s">
        <v>599</v>
      </c>
      <c r="E58" s="422" t="s">
        <v>599</v>
      </c>
      <c r="F58" s="412">
        <v>2.3099000000000001E-4</v>
      </c>
      <c r="G58" s="128"/>
      <c r="H58" s="128"/>
      <c r="I58" s="7" t="s">
        <v>117</v>
      </c>
      <c r="J58" s="7" t="s">
        <v>420</v>
      </c>
      <c r="K58" s="405">
        <v>2024</v>
      </c>
      <c r="L58" s="406" t="s">
        <v>571</v>
      </c>
    </row>
    <row r="59" spans="1:12" x14ac:dyDescent="0.35">
      <c r="A59" s="7" t="s">
        <v>463</v>
      </c>
      <c r="B59" s="403" t="s">
        <v>600</v>
      </c>
      <c r="C59" s="419" t="s">
        <v>601</v>
      </c>
      <c r="D59" s="419" t="s">
        <v>600</v>
      </c>
      <c r="E59" s="420" t="s">
        <v>602</v>
      </c>
      <c r="F59" s="407">
        <f>1/1000*0.13593*277.78</f>
        <v>3.7758635399999997E-2</v>
      </c>
      <c r="G59" s="78"/>
      <c r="H59" s="128"/>
      <c r="I59" s="7" t="s">
        <v>176</v>
      </c>
      <c r="J59" s="7" t="s">
        <v>420</v>
      </c>
      <c r="K59" s="405">
        <v>2020</v>
      </c>
      <c r="L59" s="413" t="s">
        <v>603</v>
      </c>
    </row>
    <row r="60" spans="1:12" x14ac:dyDescent="0.35">
      <c r="A60" s="7" t="s">
        <v>463</v>
      </c>
      <c r="B60" s="403" t="s">
        <v>604</v>
      </c>
      <c r="C60" s="419" t="s">
        <v>605</v>
      </c>
      <c r="D60" s="419" t="s">
        <v>604</v>
      </c>
      <c r="E60" s="420" t="s">
        <v>606</v>
      </c>
      <c r="F60" s="407">
        <f>1/1000*0.12357*277.78</f>
        <v>3.4325274599999997E-2</v>
      </c>
      <c r="G60" s="78"/>
      <c r="H60" s="128"/>
      <c r="I60" s="7" t="s">
        <v>176</v>
      </c>
      <c r="J60" s="7" t="s">
        <v>420</v>
      </c>
      <c r="K60" s="405">
        <v>2021</v>
      </c>
      <c r="L60" s="413" t="s">
        <v>603</v>
      </c>
    </row>
    <row r="61" spans="1:12" x14ac:dyDescent="0.35">
      <c r="A61" s="7" t="s">
        <v>463</v>
      </c>
      <c r="B61" s="403" t="s">
        <v>607</v>
      </c>
      <c r="C61" s="419" t="s">
        <v>608</v>
      </c>
      <c r="D61" s="419" t="s">
        <v>607</v>
      </c>
      <c r="E61" s="420" t="s">
        <v>609</v>
      </c>
      <c r="F61" s="407">
        <f>1/1000*0.13136*277.78</f>
        <v>3.64891808E-2</v>
      </c>
      <c r="G61" s="78"/>
      <c r="H61" s="128"/>
      <c r="I61" s="7" t="s">
        <v>176</v>
      </c>
      <c r="J61" s="7" t="s">
        <v>420</v>
      </c>
      <c r="K61" s="405">
        <v>2022</v>
      </c>
      <c r="L61" s="413" t="s">
        <v>603</v>
      </c>
    </row>
    <row r="62" spans="1:12" x14ac:dyDescent="0.35">
      <c r="A62" s="7" t="s">
        <v>463</v>
      </c>
      <c r="B62" s="403" t="s">
        <v>610</v>
      </c>
      <c r="C62" s="419" t="s">
        <v>611</v>
      </c>
      <c r="D62" s="419" t="s">
        <v>610</v>
      </c>
      <c r="E62" s="420" t="s">
        <v>612</v>
      </c>
      <c r="F62" s="407">
        <f>0.11462/1000*277.78</f>
        <v>3.1839143599999994E-2</v>
      </c>
      <c r="G62" s="78"/>
      <c r="H62" s="128"/>
      <c r="I62" s="7" t="s">
        <v>176</v>
      </c>
      <c r="J62" s="7" t="s">
        <v>420</v>
      </c>
      <c r="K62" s="405">
        <v>2023</v>
      </c>
      <c r="L62" s="413" t="s">
        <v>603</v>
      </c>
    </row>
    <row r="63" spans="1:12" x14ac:dyDescent="0.35">
      <c r="A63" s="7" t="s">
        <v>463</v>
      </c>
      <c r="B63" s="403" t="s">
        <v>613</v>
      </c>
      <c r="C63" s="419" t="s">
        <v>614</v>
      </c>
      <c r="D63" s="419" t="s">
        <v>613</v>
      </c>
      <c r="E63" s="420" t="s">
        <v>615</v>
      </c>
      <c r="F63" s="407">
        <f>0.11462/1000*277.78</f>
        <v>3.1839143599999994E-2</v>
      </c>
      <c r="G63" s="78"/>
      <c r="H63" s="128"/>
      <c r="I63" s="7" t="s">
        <v>176</v>
      </c>
      <c r="J63" s="7" t="s">
        <v>420</v>
      </c>
      <c r="K63" s="405">
        <v>2024</v>
      </c>
      <c r="L63" s="413" t="s">
        <v>603</v>
      </c>
    </row>
    <row r="64" spans="1:12" x14ac:dyDescent="0.35">
      <c r="A64" s="7" t="s">
        <v>463</v>
      </c>
      <c r="B64" s="403" t="s">
        <v>616</v>
      </c>
      <c r="C64" s="419" t="s">
        <v>617</v>
      </c>
      <c r="D64" s="419" t="s">
        <v>616</v>
      </c>
      <c r="E64" s="420" t="s">
        <v>618</v>
      </c>
      <c r="F64" s="407">
        <f>1/1000*0.13593</f>
        <v>1.3593000000000001E-4</v>
      </c>
      <c r="G64" s="78"/>
      <c r="H64" s="128"/>
      <c r="I64" s="7" t="s">
        <v>68</v>
      </c>
      <c r="J64" s="7" t="s">
        <v>420</v>
      </c>
      <c r="K64" s="405">
        <v>2020</v>
      </c>
      <c r="L64" s="413" t="s">
        <v>603</v>
      </c>
    </row>
    <row r="65" spans="1:12" x14ac:dyDescent="0.35">
      <c r="A65" s="7" t="s">
        <v>463</v>
      </c>
      <c r="B65" s="403" t="s">
        <v>619</v>
      </c>
      <c r="C65" s="419" t="s">
        <v>620</v>
      </c>
      <c r="D65" s="419" t="s">
        <v>619</v>
      </c>
      <c r="E65" s="420" t="s">
        <v>621</v>
      </c>
      <c r="F65" s="407">
        <f>1/1000*0.12357</f>
        <v>1.2357000000000001E-4</v>
      </c>
      <c r="G65" s="78"/>
      <c r="H65" s="128"/>
      <c r="I65" s="7" t="s">
        <v>68</v>
      </c>
      <c r="J65" s="7" t="s">
        <v>420</v>
      </c>
      <c r="K65" s="405">
        <v>2021</v>
      </c>
      <c r="L65" s="413" t="s">
        <v>603</v>
      </c>
    </row>
    <row r="66" spans="1:12" x14ac:dyDescent="0.35">
      <c r="A66" s="7" t="s">
        <v>463</v>
      </c>
      <c r="B66" s="403" t="s">
        <v>622</v>
      </c>
      <c r="C66" s="419" t="s">
        <v>623</v>
      </c>
      <c r="D66" s="419" t="s">
        <v>622</v>
      </c>
      <c r="E66" s="420" t="s">
        <v>624</v>
      </c>
      <c r="F66" s="407">
        <f>1/1000*0.13136</f>
        <v>1.3136000000000002E-4</v>
      </c>
      <c r="G66" s="78"/>
      <c r="H66" s="128"/>
      <c r="I66" s="7" t="s">
        <v>68</v>
      </c>
      <c r="J66" s="7" t="s">
        <v>420</v>
      </c>
      <c r="K66" s="405">
        <v>2022</v>
      </c>
      <c r="L66" s="413" t="s">
        <v>603</v>
      </c>
    </row>
    <row r="67" spans="1:12" x14ac:dyDescent="0.35">
      <c r="A67" s="7" t="s">
        <v>463</v>
      </c>
      <c r="B67" s="403" t="s">
        <v>625</v>
      </c>
      <c r="C67" s="419" t="s">
        <v>626</v>
      </c>
      <c r="D67" s="419" t="s">
        <v>625</v>
      </c>
      <c r="E67" s="420" t="s">
        <v>627</v>
      </c>
      <c r="F67" s="407">
        <f>0.11462/1000</f>
        <v>1.1462E-4</v>
      </c>
      <c r="G67" s="78"/>
      <c r="H67" s="128"/>
      <c r="I67" s="7" t="s">
        <v>68</v>
      </c>
      <c r="J67" s="7" t="s">
        <v>420</v>
      </c>
      <c r="K67" s="405">
        <v>2023</v>
      </c>
      <c r="L67" s="413" t="s">
        <v>603</v>
      </c>
    </row>
    <row r="68" spans="1:12" x14ac:dyDescent="0.35">
      <c r="A68" s="7" t="s">
        <v>463</v>
      </c>
      <c r="B68" s="403" t="s">
        <v>628</v>
      </c>
      <c r="C68" s="419" t="s">
        <v>629</v>
      </c>
      <c r="D68" s="419" t="s">
        <v>628</v>
      </c>
      <c r="E68" s="420" t="s">
        <v>630</v>
      </c>
      <c r="F68" s="407">
        <f>0.11462/1000</f>
        <v>1.1462E-4</v>
      </c>
      <c r="G68" s="78"/>
      <c r="H68" s="128"/>
      <c r="I68" s="7" t="s">
        <v>68</v>
      </c>
      <c r="J68" s="7" t="s">
        <v>420</v>
      </c>
      <c r="K68" s="405">
        <v>2024</v>
      </c>
      <c r="L68" s="413" t="s">
        <v>603</v>
      </c>
    </row>
    <row r="69" spans="1:12" x14ac:dyDescent="0.35">
      <c r="A69" s="7" t="s">
        <v>463</v>
      </c>
      <c r="B69" s="403" t="s">
        <v>631</v>
      </c>
      <c r="C69" s="419" t="s">
        <v>632</v>
      </c>
      <c r="D69" s="419" t="s">
        <v>631</v>
      </c>
      <c r="E69" s="420" t="s">
        <v>633</v>
      </c>
      <c r="F69" s="407">
        <v>0.13593</v>
      </c>
      <c r="G69" s="128"/>
      <c r="H69" s="128"/>
      <c r="I69" s="7" t="s">
        <v>72</v>
      </c>
      <c r="J69" s="7" t="s">
        <v>420</v>
      </c>
      <c r="K69" s="405">
        <v>2020</v>
      </c>
      <c r="L69" s="413" t="s">
        <v>603</v>
      </c>
    </row>
    <row r="70" spans="1:12" x14ac:dyDescent="0.35">
      <c r="A70" s="7" t="s">
        <v>463</v>
      </c>
      <c r="B70" s="403" t="s">
        <v>634</v>
      </c>
      <c r="C70" s="419" t="s">
        <v>635</v>
      </c>
      <c r="D70" s="419" t="s">
        <v>634</v>
      </c>
      <c r="E70" s="420" t="s">
        <v>636</v>
      </c>
      <c r="F70" s="407">
        <v>0.12357</v>
      </c>
      <c r="G70" s="128"/>
      <c r="H70" s="128"/>
      <c r="I70" s="7" t="s">
        <v>72</v>
      </c>
      <c r="J70" s="7" t="s">
        <v>420</v>
      </c>
      <c r="K70" s="405">
        <v>2021</v>
      </c>
      <c r="L70" s="413" t="s">
        <v>603</v>
      </c>
    </row>
    <row r="71" spans="1:12" x14ac:dyDescent="0.35">
      <c r="A71" s="7" t="s">
        <v>463</v>
      </c>
      <c r="B71" s="403" t="s">
        <v>637</v>
      </c>
      <c r="C71" s="419" t="s">
        <v>638</v>
      </c>
      <c r="D71" s="419" t="s">
        <v>637</v>
      </c>
      <c r="E71" s="420" t="s">
        <v>639</v>
      </c>
      <c r="F71" s="407">
        <v>0.13136</v>
      </c>
      <c r="G71" s="128"/>
      <c r="H71" s="128"/>
      <c r="I71" s="7" t="s">
        <v>72</v>
      </c>
      <c r="J71" s="7" t="s">
        <v>420</v>
      </c>
      <c r="K71" s="405">
        <v>2022</v>
      </c>
      <c r="L71" s="413" t="s">
        <v>603</v>
      </c>
    </row>
    <row r="72" spans="1:12" x14ac:dyDescent="0.35">
      <c r="A72" s="7" t="s">
        <v>463</v>
      </c>
      <c r="B72" s="403" t="s">
        <v>640</v>
      </c>
      <c r="C72" s="419" t="s">
        <v>641</v>
      </c>
      <c r="D72" s="419" t="s">
        <v>640</v>
      </c>
      <c r="E72" s="420" t="s">
        <v>642</v>
      </c>
      <c r="F72" s="407">
        <v>0.11462</v>
      </c>
      <c r="G72" s="128"/>
      <c r="H72" s="128"/>
      <c r="I72" s="7" t="s">
        <v>72</v>
      </c>
      <c r="J72" s="7" t="s">
        <v>420</v>
      </c>
      <c r="K72" s="405">
        <v>2023</v>
      </c>
      <c r="L72" s="413" t="s">
        <v>603</v>
      </c>
    </row>
    <row r="73" spans="1:12" x14ac:dyDescent="0.35">
      <c r="A73" s="7" t="s">
        <v>463</v>
      </c>
      <c r="B73" s="403" t="s">
        <v>643</v>
      </c>
      <c r="C73" s="419" t="s">
        <v>644</v>
      </c>
      <c r="D73" s="419" t="s">
        <v>643</v>
      </c>
      <c r="E73" s="420" t="s">
        <v>645</v>
      </c>
      <c r="F73" s="407">
        <v>0.11462</v>
      </c>
      <c r="G73" s="128"/>
      <c r="H73" s="128"/>
      <c r="I73" s="7" t="s">
        <v>72</v>
      </c>
      <c r="J73" s="7" t="s">
        <v>420</v>
      </c>
      <c r="K73" s="405">
        <v>2024</v>
      </c>
      <c r="L73" s="413" t="s">
        <v>603</v>
      </c>
    </row>
    <row r="74" spans="1:12" x14ac:dyDescent="0.35">
      <c r="A74" s="7" t="s">
        <v>463</v>
      </c>
      <c r="B74" s="7" t="s">
        <v>646</v>
      </c>
      <c r="C74" s="421" t="s">
        <v>646</v>
      </c>
      <c r="D74" s="421" t="s">
        <v>646</v>
      </c>
      <c r="E74" s="422" t="s">
        <v>647</v>
      </c>
      <c r="F74" s="412">
        <v>2.5305555555575798E-2</v>
      </c>
      <c r="G74" s="78"/>
      <c r="H74" s="128"/>
      <c r="I74" s="7" t="s">
        <v>176</v>
      </c>
      <c r="J74" s="7" t="s">
        <v>648</v>
      </c>
      <c r="K74" s="405">
        <v>2020</v>
      </c>
      <c r="L74" s="406" t="s">
        <v>649</v>
      </c>
    </row>
    <row r="75" spans="1:12" x14ac:dyDescent="0.35">
      <c r="A75" s="7" t="s">
        <v>463</v>
      </c>
      <c r="B75" s="7" t="s">
        <v>650</v>
      </c>
      <c r="C75" s="421" t="s">
        <v>650</v>
      </c>
      <c r="D75" s="421" t="s">
        <v>650</v>
      </c>
      <c r="E75" s="422" t="s">
        <v>651</v>
      </c>
      <c r="F75" s="412">
        <v>2.45000000000196E-2</v>
      </c>
      <c r="G75" s="78"/>
      <c r="H75" s="128"/>
      <c r="I75" s="7" t="s">
        <v>176</v>
      </c>
      <c r="J75" s="7" t="s">
        <v>648</v>
      </c>
      <c r="K75" s="405">
        <v>2021</v>
      </c>
      <c r="L75" s="406" t="s">
        <v>649</v>
      </c>
    </row>
    <row r="76" spans="1:12" x14ac:dyDescent="0.35">
      <c r="A76" s="7" t="s">
        <v>463</v>
      </c>
      <c r="B76" s="7" t="s">
        <v>652</v>
      </c>
      <c r="C76" s="421" t="s">
        <v>652</v>
      </c>
      <c r="D76" s="421" t="s">
        <v>652</v>
      </c>
      <c r="E76" s="422" t="s">
        <v>653</v>
      </c>
      <c r="F76" s="412">
        <v>2.0805721999999995E-2</v>
      </c>
      <c r="G76" s="78"/>
      <c r="H76" s="128"/>
      <c r="I76" s="7" t="s">
        <v>176</v>
      </c>
      <c r="J76" s="7" t="s">
        <v>648</v>
      </c>
      <c r="K76" s="405">
        <v>2022</v>
      </c>
      <c r="L76" s="406" t="s">
        <v>649</v>
      </c>
    </row>
    <row r="77" spans="1:12" x14ac:dyDescent="0.35">
      <c r="A77" s="7" t="s">
        <v>463</v>
      </c>
      <c r="B77" s="7" t="s">
        <v>654</v>
      </c>
      <c r="C77" s="421" t="s">
        <v>654</v>
      </c>
      <c r="D77" s="421" t="s">
        <v>654</v>
      </c>
      <c r="E77" s="422" t="s">
        <v>655</v>
      </c>
      <c r="F77" s="412">
        <f>277.78*0.0000721</f>
        <v>2.0027937999999999E-2</v>
      </c>
      <c r="G77" s="78"/>
      <c r="H77" s="128"/>
      <c r="I77" s="7" t="s">
        <v>176</v>
      </c>
      <c r="J77" s="7" t="s">
        <v>648</v>
      </c>
      <c r="K77" s="405">
        <v>2023</v>
      </c>
      <c r="L77" s="406" t="s">
        <v>649</v>
      </c>
    </row>
    <row r="78" spans="1:12" x14ac:dyDescent="0.35">
      <c r="A78" s="7" t="s">
        <v>463</v>
      </c>
      <c r="B78" s="7" t="s">
        <v>656</v>
      </c>
      <c r="C78" s="421" t="s">
        <v>656</v>
      </c>
      <c r="D78" s="421" t="s">
        <v>656</v>
      </c>
      <c r="E78" s="422" t="s">
        <v>657</v>
      </c>
      <c r="F78" s="412">
        <f>277.78*0.0000721</f>
        <v>2.0027937999999999E-2</v>
      </c>
      <c r="G78" s="78"/>
      <c r="H78" s="128"/>
      <c r="I78" s="7" t="s">
        <v>176</v>
      </c>
      <c r="J78" s="7" t="s">
        <v>648</v>
      </c>
      <c r="K78" s="405">
        <v>2024</v>
      </c>
      <c r="L78" s="406" t="s">
        <v>649</v>
      </c>
    </row>
    <row r="79" spans="1:12" x14ac:dyDescent="0.35">
      <c r="A79" s="7" t="s">
        <v>463</v>
      </c>
      <c r="B79" s="7" t="s">
        <v>658</v>
      </c>
      <c r="C79" s="421" t="s">
        <v>658</v>
      </c>
      <c r="D79" s="421" t="s">
        <v>658</v>
      </c>
      <c r="E79" s="422" t="s">
        <v>659</v>
      </c>
      <c r="F79" s="412">
        <v>9.1100000000000005E-5</v>
      </c>
      <c r="G79" s="78"/>
      <c r="H79" s="128"/>
      <c r="I79" s="7" t="s">
        <v>68</v>
      </c>
      <c r="J79" s="7" t="s">
        <v>648</v>
      </c>
      <c r="K79" s="405">
        <v>2020</v>
      </c>
      <c r="L79" s="406" t="s">
        <v>649</v>
      </c>
    </row>
    <row r="80" spans="1:12" x14ac:dyDescent="0.35">
      <c r="A80" s="7" t="s">
        <v>463</v>
      </c>
      <c r="B80" s="7" t="s">
        <v>660</v>
      </c>
      <c r="C80" s="421" t="s">
        <v>660</v>
      </c>
      <c r="D80" s="421" t="s">
        <v>660</v>
      </c>
      <c r="E80" s="422" t="s">
        <v>661</v>
      </c>
      <c r="F80" s="412">
        <v>8.8200000000000003E-5</v>
      </c>
      <c r="G80" s="78"/>
      <c r="H80" s="128"/>
      <c r="I80" s="7" t="s">
        <v>68</v>
      </c>
      <c r="J80" s="7" t="s">
        <v>648</v>
      </c>
      <c r="K80" s="405">
        <v>2021</v>
      </c>
      <c r="L80" s="406" t="s">
        <v>649</v>
      </c>
    </row>
    <row r="81" spans="1:12" x14ac:dyDescent="0.35">
      <c r="A81" s="7" t="s">
        <v>463</v>
      </c>
      <c r="B81" s="7" t="s">
        <v>662</v>
      </c>
      <c r="C81" s="421" t="s">
        <v>662</v>
      </c>
      <c r="D81" s="421" t="s">
        <v>662</v>
      </c>
      <c r="E81" s="422" t="s">
        <v>663</v>
      </c>
      <c r="F81" s="412">
        <v>7.4899999999999991E-5</v>
      </c>
      <c r="G81" s="78"/>
      <c r="H81" s="128"/>
      <c r="I81" s="7" t="s">
        <v>68</v>
      </c>
      <c r="J81" s="7" t="s">
        <v>648</v>
      </c>
      <c r="K81" s="405">
        <v>2022</v>
      </c>
      <c r="L81" s="406" t="s">
        <v>649</v>
      </c>
    </row>
    <row r="82" spans="1:12" x14ac:dyDescent="0.35">
      <c r="A82" s="7" t="s">
        <v>463</v>
      </c>
      <c r="B82" s="7" t="s">
        <v>664</v>
      </c>
      <c r="C82" s="421" t="s">
        <v>664</v>
      </c>
      <c r="D82" s="421" t="s">
        <v>664</v>
      </c>
      <c r="E82" s="422" t="s">
        <v>665</v>
      </c>
      <c r="F82" s="412">
        <v>7.2099999999999991E-5</v>
      </c>
      <c r="G82" s="78"/>
      <c r="H82" s="128"/>
      <c r="I82" s="7" t="s">
        <v>68</v>
      </c>
      <c r="J82" s="7" t="s">
        <v>648</v>
      </c>
      <c r="K82" s="405">
        <v>2023</v>
      </c>
      <c r="L82" s="406" t="s">
        <v>649</v>
      </c>
    </row>
    <row r="83" spans="1:12" x14ac:dyDescent="0.35">
      <c r="A83" s="7" t="s">
        <v>463</v>
      </c>
      <c r="B83" s="7" t="s">
        <v>666</v>
      </c>
      <c r="C83" s="421" t="s">
        <v>666</v>
      </c>
      <c r="D83" s="421" t="s">
        <v>666</v>
      </c>
      <c r="E83" s="422" t="s">
        <v>667</v>
      </c>
      <c r="F83" s="412">
        <v>7.2099999999999991E-5</v>
      </c>
      <c r="G83" s="78"/>
      <c r="H83" s="128"/>
      <c r="I83" s="7" t="s">
        <v>68</v>
      </c>
      <c r="J83" s="7" t="s">
        <v>648</v>
      </c>
      <c r="K83" s="405">
        <v>2024</v>
      </c>
      <c r="L83" s="406" t="s">
        <v>649</v>
      </c>
    </row>
    <row r="84" spans="1:12" x14ac:dyDescent="0.35">
      <c r="A84" s="7" t="s">
        <v>463</v>
      </c>
      <c r="B84" s="7" t="s">
        <v>668</v>
      </c>
      <c r="C84" s="421" t="s">
        <v>668</v>
      </c>
      <c r="D84" s="421" t="s">
        <v>668</v>
      </c>
      <c r="E84" s="422" t="s">
        <v>669</v>
      </c>
      <c r="F84" s="412">
        <v>9.11E-2</v>
      </c>
      <c r="G84" s="128"/>
      <c r="H84" s="128"/>
      <c r="I84" s="7" t="s">
        <v>72</v>
      </c>
      <c r="J84" s="7" t="s">
        <v>648</v>
      </c>
      <c r="K84" s="405">
        <v>2020</v>
      </c>
      <c r="L84" s="406" t="s">
        <v>649</v>
      </c>
    </row>
    <row r="85" spans="1:12" x14ac:dyDescent="0.35">
      <c r="A85" s="7" t="s">
        <v>463</v>
      </c>
      <c r="B85" s="7" t="s">
        <v>670</v>
      </c>
      <c r="C85" s="421" t="s">
        <v>670</v>
      </c>
      <c r="D85" s="421" t="s">
        <v>670</v>
      </c>
      <c r="E85" s="422" t="s">
        <v>671</v>
      </c>
      <c r="F85" s="412">
        <v>8.8200000000000001E-2</v>
      </c>
      <c r="G85" s="128"/>
      <c r="H85" s="128"/>
      <c r="I85" s="7" t="s">
        <v>72</v>
      </c>
      <c r="J85" s="7" t="s">
        <v>648</v>
      </c>
      <c r="K85" s="405">
        <v>2021</v>
      </c>
      <c r="L85" s="406" t="s">
        <v>649</v>
      </c>
    </row>
    <row r="86" spans="1:12" x14ac:dyDescent="0.35">
      <c r="A86" s="7" t="s">
        <v>463</v>
      </c>
      <c r="B86" s="7" t="s">
        <v>672</v>
      </c>
      <c r="C86" s="421" t="s">
        <v>672</v>
      </c>
      <c r="D86" s="421" t="s">
        <v>672</v>
      </c>
      <c r="E86" s="422" t="s">
        <v>673</v>
      </c>
      <c r="F86" s="412">
        <v>7.4899999999999994E-2</v>
      </c>
      <c r="G86" s="128"/>
      <c r="H86" s="128"/>
      <c r="I86" s="7" t="s">
        <v>72</v>
      </c>
      <c r="J86" s="7" t="s">
        <v>648</v>
      </c>
      <c r="K86" s="405">
        <v>2022</v>
      </c>
      <c r="L86" s="406" t="s">
        <v>649</v>
      </c>
    </row>
    <row r="87" spans="1:12" x14ac:dyDescent="0.35">
      <c r="A87" s="7" t="s">
        <v>463</v>
      </c>
      <c r="B87" s="7" t="s">
        <v>674</v>
      </c>
      <c r="C87" s="421" t="s">
        <v>674</v>
      </c>
      <c r="D87" s="421" t="s">
        <v>674</v>
      </c>
      <c r="E87" s="422" t="s">
        <v>675</v>
      </c>
      <c r="F87" s="412">
        <v>7.2099999999999997E-2</v>
      </c>
      <c r="G87" s="128"/>
      <c r="H87" s="128"/>
      <c r="I87" s="7" t="s">
        <v>72</v>
      </c>
      <c r="J87" s="7" t="s">
        <v>648</v>
      </c>
      <c r="K87" s="405">
        <v>2023</v>
      </c>
      <c r="L87" s="406" t="s">
        <v>649</v>
      </c>
    </row>
    <row r="88" spans="1:12" x14ac:dyDescent="0.35">
      <c r="A88" s="7" t="s">
        <v>463</v>
      </c>
      <c r="B88" s="7" t="s">
        <v>676</v>
      </c>
      <c r="C88" s="421" t="s">
        <v>676</v>
      </c>
      <c r="D88" s="421" t="s">
        <v>676</v>
      </c>
      <c r="E88" s="422" t="s">
        <v>677</v>
      </c>
      <c r="F88" s="412">
        <v>7.2099999999999997E-2</v>
      </c>
      <c r="G88" s="128"/>
      <c r="H88" s="128"/>
      <c r="I88" s="7" t="s">
        <v>72</v>
      </c>
      <c r="J88" s="7" t="s">
        <v>648</v>
      </c>
      <c r="K88" s="405">
        <v>2024</v>
      </c>
      <c r="L88" s="406" t="s">
        <v>649</v>
      </c>
    </row>
    <row r="89" spans="1:12" x14ac:dyDescent="0.35">
      <c r="A89" s="7" t="s">
        <v>463</v>
      </c>
      <c r="B89" s="7" t="s">
        <v>678</v>
      </c>
      <c r="C89" s="421" t="s">
        <v>678</v>
      </c>
      <c r="D89" s="421" t="s">
        <v>678</v>
      </c>
      <c r="E89" s="422" t="s">
        <v>679</v>
      </c>
      <c r="F89" s="412">
        <v>2.7777777777799998E-2</v>
      </c>
      <c r="G89" s="78"/>
      <c r="H89" s="128"/>
      <c r="I89" s="7" t="s">
        <v>176</v>
      </c>
      <c r="J89" s="7" t="s">
        <v>420</v>
      </c>
      <c r="K89" s="405">
        <v>2020</v>
      </c>
      <c r="L89" s="406" t="s">
        <v>680</v>
      </c>
    </row>
    <row r="90" spans="1:12" x14ac:dyDescent="0.35">
      <c r="A90" s="7" t="s">
        <v>463</v>
      </c>
      <c r="B90" s="7" t="s">
        <v>681</v>
      </c>
      <c r="C90" s="421" t="s">
        <v>681</v>
      </c>
      <c r="D90" s="421" t="s">
        <v>681</v>
      </c>
      <c r="E90" s="422" t="s">
        <v>682</v>
      </c>
      <c r="F90" s="412">
        <v>2.7777777777799998E-2</v>
      </c>
      <c r="G90" s="78"/>
      <c r="H90" s="128"/>
      <c r="I90" s="7" t="s">
        <v>176</v>
      </c>
      <c r="J90" s="7" t="s">
        <v>420</v>
      </c>
      <c r="K90" s="405">
        <v>2021</v>
      </c>
      <c r="L90" s="406" t="s">
        <v>680</v>
      </c>
    </row>
    <row r="91" spans="1:12" x14ac:dyDescent="0.35">
      <c r="A91" s="7" t="s">
        <v>463</v>
      </c>
      <c r="B91" s="7" t="s">
        <v>683</v>
      </c>
      <c r="C91" s="421" t="s">
        <v>683</v>
      </c>
      <c r="D91" s="421" t="s">
        <v>683</v>
      </c>
      <c r="E91" s="422" t="s">
        <v>684</v>
      </c>
      <c r="F91" s="412">
        <v>2.7777777777799998E-2</v>
      </c>
      <c r="G91" s="78"/>
      <c r="H91" s="128"/>
      <c r="I91" s="7" t="s">
        <v>176</v>
      </c>
      <c r="J91" s="7" t="s">
        <v>420</v>
      </c>
      <c r="K91" s="405">
        <v>2022</v>
      </c>
      <c r="L91" s="406" t="s">
        <v>680</v>
      </c>
    </row>
    <row r="92" spans="1:12" x14ac:dyDescent="0.35">
      <c r="A92" s="7" t="s">
        <v>463</v>
      </c>
      <c r="B92" s="7" t="s">
        <v>685</v>
      </c>
      <c r="C92" s="421" t="s">
        <v>685</v>
      </c>
      <c r="D92" s="421" t="s">
        <v>685</v>
      </c>
      <c r="E92" s="422" t="s">
        <v>686</v>
      </c>
      <c r="F92" s="412">
        <v>2.7777777777799998E-2</v>
      </c>
      <c r="G92" s="78"/>
      <c r="H92" s="128"/>
      <c r="I92" s="7" t="s">
        <v>176</v>
      </c>
      <c r="J92" s="7" t="s">
        <v>420</v>
      </c>
      <c r="K92" s="405">
        <v>2023</v>
      </c>
      <c r="L92" s="406" t="s">
        <v>680</v>
      </c>
    </row>
    <row r="93" spans="1:12" x14ac:dyDescent="0.35">
      <c r="A93" s="7" t="s">
        <v>463</v>
      </c>
      <c r="B93" s="7" t="s">
        <v>687</v>
      </c>
      <c r="C93" s="421" t="s">
        <v>687</v>
      </c>
      <c r="D93" s="421" t="s">
        <v>687</v>
      </c>
      <c r="E93" s="422" t="s">
        <v>688</v>
      </c>
      <c r="F93" s="412">
        <v>2.7777777777799998E-2</v>
      </c>
      <c r="G93" s="78"/>
      <c r="H93" s="128"/>
      <c r="I93" s="7" t="s">
        <v>176</v>
      </c>
      <c r="J93" s="7" t="s">
        <v>420</v>
      </c>
      <c r="K93" s="405">
        <v>2024</v>
      </c>
      <c r="L93" s="406" t="s">
        <v>680</v>
      </c>
    </row>
    <row r="94" spans="1:12" x14ac:dyDescent="0.35">
      <c r="A94" s="7" t="s">
        <v>463</v>
      </c>
      <c r="B94" s="7" t="s">
        <v>689</v>
      </c>
      <c r="C94" s="421" t="s">
        <v>689</v>
      </c>
      <c r="D94" s="421" t="s">
        <v>689</v>
      </c>
      <c r="E94" s="422" t="s">
        <v>690</v>
      </c>
      <c r="F94" s="412">
        <v>1E-4</v>
      </c>
      <c r="G94" s="78"/>
      <c r="H94" s="128"/>
      <c r="I94" s="7" t="s">
        <v>68</v>
      </c>
      <c r="J94" s="7" t="s">
        <v>420</v>
      </c>
      <c r="K94" s="405">
        <v>2020</v>
      </c>
      <c r="L94" s="406" t="s">
        <v>680</v>
      </c>
    </row>
    <row r="95" spans="1:12" x14ac:dyDescent="0.35">
      <c r="A95" s="7" t="s">
        <v>463</v>
      </c>
      <c r="B95" s="7" t="s">
        <v>691</v>
      </c>
      <c r="C95" s="421" t="s">
        <v>691</v>
      </c>
      <c r="D95" s="421" t="s">
        <v>691</v>
      </c>
      <c r="E95" s="422" t="s">
        <v>692</v>
      </c>
      <c r="F95" s="412">
        <v>1E-4</v>
      </c>
      <c r="G95" s="78"/>
      <c r="H95" s="128"/>
      <c r="I95" s="7" t="s">
        <v>68</v>
      </c>
      <c r="J95" s="7" t="s">
        <v>420</v>
      </c>
      <c r="K95" s="405">
        <v>2021</v>
      </c>
      <c r="L95" s="406" t="s">
        <v>680</v>
      </c>
    </row>
    <row r="96" spans="1:12" x14ac:dyDescent="0.35">
      <c r="A96" s="7" t="s">
        <v>463</v>
      </c>
      <c r="B96" s="7" t="s">
        <v>693</v>
      </c>
      <c r="C96" s="421" t="s">
        <v>693</v>
      </c>
      <c r="D96" s="421" t="s">
        <v>693</v>
      </c>
      <c r="E96" s="422" t="s">
        <v>694</v>
      </c>
      <c r="F96" s="412">
        <v>1E-4</v>
      </c>
      <c r="G96" s="78"/>
      <c r="H96" s="128"/>
      <c r="I96" s="7" t="s">
        <v>68</v>
      </c>
      <c r="J96" s="7" t="s">
        <v>420</v>
      </c>
      <c r="K96" s="405">
        <v>2022</v>
      </c>
      <c r="L96" s="406" t="s">
        <v>680</v>
      </c>
    </row>
    <row r="97" spans="1:12" x14ac:dyDescent="0.35">
      <c r="A97" s="7" t="s">
        <v>463</v>
      </c>
      <c r="B97" s="7" t="s">
        <v>695</v>
      </c>
      <c r="C97" s="421" t="s">
        <v>695</v>
      </c>
      <c r="D97" s="421" t="s">
        <v>695</v>
      </c>
      <c r="E97" s="422" t="s">
        <v>696</v>
      </c>
      <c r="F97" s="412">
        <v>1E-4</v>
      </c>
      <c r="G97" s="78"/>
      <c r="H97" s="128"/>
      <c r="I97" s="7" t="s">
        <v>68</v>
      </c>
      <c r="J97" s="7" t="s">
        <v>420</v>
      </c>
      <c r="K97" s="405">
        <v>2023</v>
      </c>
      <c r="L97" s="406" t="s">
        <v>680</v>
      </c>
    </row>
    <row r="98" spans="1:12" x14ac:dyDescent="0.35">
      <c r="A98" s="7" t="s">
        <v>463</v>
      </c>
      <c r="B98" s="7" t="s">
        <v>697</v>
      </c>
      <c r="C98" s="421" t="s">
        <v>697</v>
      </c>
      <c r="D98" s="421" t="s">
        <v>697</v>
      </c>
      <c r="E98" s="422" t="s">
        <v>698</v>
      </c>
      <c r="F98" s="412">
        <v>1E-4</v>
      </c>
      <c r="G98" s="78"/>
      <c r="H98" s="128"/>
      <c r="I98" s="7" t="s">
        <v>68</v>
      </c>
      <c r="J98" s="7" t="s">
        <v>420</v>
      </c>
      <c r="K98" s="405">
        <v>2024</v>
      </c>
      <c r="L98" s="406" t="s">
        <v>680</v>
      </c>
    </row>
    <row r="99" spans="1:12" x14ac:dyDescent="0.35">
      <c r="A99" s="7" t="s">
        <v>463</v>
      </c>
      <c r="B99" s="7" t="s">
        <v>699</v>
      </c>
      <c r="C99" s="421" t="s">
        <v>699</v>
      </c>
      <c r="D99" s="421" t="s">
        <v>699</v>
      </c>
      <c r="E99" s="422" t="s">
        <v>700</v>
      </c>
      <c r="F99" s="412">
        <v>0.1</v>
      </c>
      <c r="G99" s="128"/>
      <c r="H99" s="128"/>
      <c r="I99" s="7" t="s">
        <v>72</v>
      </c>
      <c r="J99" s="7" t="s">
        <v>420</v>
      </c>
      <c r="K99" s="405">
        <v>2020</v>
      </c>
      <c r="L99" s="406" t="s">
        <v>680</v>
      </c>
    </row>
    <row r="100" spans="1:12" x14ac:dyDescent="0.35">
      <c r="A100" s="7" t="s">
        <v>463</v>
      </c>
      <c r="B100" s="7" t="s">
        <v>701</v>
      </c>
      <c r="C100" s="421" t="s">
        <v>701</v>
      </c>
      <c r="D100" s="421" t="s">
        <v>701</v>
      </c>
      <c r="E100" s="422" t="s">
        <v>702</v>
      </c>
      <c r="F100" s="412">
        <v>0.1</v>
      </c>
      <c r="G100" s="128"/>
      <c r="H100" s="128"/>
      <c r="I100" s="7" t="s">
        <v>72</v>
      </c>
      <c r="J100" s="7" t="s">
        <v>420</v>
      </c>
      <c r="K100" s="405">
        <v>2021</v>
      </c>
      <c r="L100" s="406" t="s">
        <v>680</v>
      </c>
    </row>
    <row r="101" spans="1:12" x14ac:dyDescent="0.35">
      <c r="A101" s="7" t="s">
        <v>463</v>
      </c>
      <c r="B101" s="7" t="s">
        <v>703</v>
      </c>
      <c r="C101" s="421" t="s">
        <v>703</v>
      </c>
      <c r="D101" s="421" t="s">
        <v>703</v>
      </c>
      <c r="E101" s="422" t="s">
        <v>704</v>
      </c>
      <c r="F101" s="412">
        <v>0.1</v>
      </c>
      <c r="G101" s="128"/>
      <c r="H101" s="128"/>
      <c r="I101" s="7" t="s">
        <v>72</v>
      </c>
      <c r="J101" s="7" t="s">
        <v>420</v>
      </c>
      <c r="K101" s="405">
        <v>2022</v>
      </c>
      <c r="L101" s="406" t="s">
        <v>680</v>
      </c>
    </row>
    <row r="102" spans="1:12" x14ac:dyDescent="0.35">
      <c r="A102" s="7" t="s">
        <v>463</v>
      </c>
      <c r="B102" s="7" t="s">
        <v>705</v>
      </c>
      <c r="C102" s="421" t="s">
        <v>705</v>
      </c>
      <c r="D102" s="421" t="s">
        <v>705</v>
      </c>
      <c r="E102" s="422" t="s">
        <v>706</v>
      </c>
      <c r="F102" s="412">
        <v>0.1</v>
      </c>
      <c r="G102" s="128"/>
      <c r="H102" s="128"/>
      <c r="I102" s="7" t="s">
        <v>72</v>
      </c>
      <c r="J102" s="7" t="s">
        <v>420</v>
      </c>
      <c r="K102" s="405">
        <v>2023</v>
      </c>
      <c r="L102" s="406" t="s">
        <v>680</v>
      </c>
    </row>
    <row r="103" spans="1:12" x14ac:dyDescent="0.35">
      <c r="A103" s="7" t="s">
        <v>463</v>
      </c>
      <c r="B103" s="7" t="s">
        <v>707</v>
      </c>
      <c r="C103" s="421" t="s">
        <v>707</v>
      </c>
      <c r="D103" s="421" t="s">
        <v>707</v>
      </c>
      <c r="E103" s="422" t="s">
        <v>708</v>
      </c>
      <c r="F103" s="412">
        <v>0.1</v>
      </c>
      <c r="G103" s="128"/>
      <c r="H103" s="128"/>
      <c r="I103" s="7" t="s">
        <v>72</v>
      </c>
      <c r="J103" s="7" t="s">
        <v>420</v>
      </c>
      <c r="K103" s="405">
        <v>2024</v>
      </c>
      <c r="L103" s="406" t="s">
        <v>680</v>
      </c>
    </row>
    <row r="104" spans="1:12" x14ac:dyDescent="0.35">
      <c r="A104" s="7" t="s">
        <v>462</v>
      </c>
      <c r="B104" s="7" t="s">
        <v>709</v>
      </c>
      <c r="C104" s="421" t="s">
        <v>710</v>
      </c>
      <c r="D104" s="421" t="s">
        <v>709</v>
      </c>
      <c r="E104" s="422" t="s">
        <v>711</v>
      </c>
      <c r="F104" s="414">
        <f>1/1000*0.13593*277.78</f>
        <v>3.7758635399999997E-2</v>
      </c>
      <c r="G104" s="78"/>
      <c r="H104" s="128"/>
      <c r="I104" s="7" t="s">
        <v>176</v>
      </c>
      <c r="J104" s="7" t="s">
        <v>420</v>
      </c>
      <c r="K104" s="405">
        <v>2020</v>
      </c>
      <c r="L104" s="413" t="s">
        <v>603</v>
      </c>
    </row>
    <row r="105" spans="1:12" x14ac:dyDescent="0.35">
      <c r="A105" s="7" t="s">
        <v>462</v>
      </c>
      <c r="B105" s="7" t="s">
        <v>712</v>
      </c>
      <c r="C105" s="421" t="s">
        <v>713</v>
      </c>
      <c r="D105" s="421" t="s">
        <v>712</v>
      </c>
      <c r="E105" s="422" t="s">
        <v>714</v>
      </c>
      <c r="F105" s="407">
        <f>1/1000*0.12357*277.78</f>
        <v>3.4325274599999997E-2</v>
      </c>
      <c r="G105" s="78"/>
      <c r="H105" s="128"/>
      <c r="I105" s="7" t="s">
        <v>176</v>
      </c>
      <c r="J105" s="7" t="s">
        <v>420</v>
      </c>
      <c r="K105" s="405">
        <v>2021</v>
      </c>
      <c r="L105" s="413" t="s">
        <v>603</v>
      </c>
    </row>
    <row r="106" spans="1:12" x14ac:dyDescent="0.35">
      <c r="A106" s="7" t="s">
        <v>462</v>
      </c>
      <c r="B106" s="7" t="s">
        <v>715</v>
      </c>
      <c r="C106" s="421" t="s">
        <v>716</v>
      </c>
      <c r="D106" s="421" t="s">
        <v>715</v>
      </c>
      <c r="E106" s="422" t="s">
        <v>717</v>
      </c>
      <c r="F106" s="407">
        <f>1/1000*0.13136*277.78</f>
        <v>3.64891808E-2</v>
      </c>
      <c r="G106" s="78"/>
      <c r="H106" s="128"/>
      <c r="I106" s="7" t="s">
        <v>176</v>
      </c>
      <c r="J106" s="7" t="s">
        <v>420</v>
      </c>
      <c r="K106" s="405">
        <v>2022</v>
      </c>
      <c r="L106" s="413" t="s">
        <v>603</v>
      </c>
    </row>
    <row r="107" spans="1:12" x14ac:dyDescent="0.35">
      <c r="A107" s="7" t="s">
        <v>462</v>
      </c>
      <c r="B107" s="403" t="s">
        <v>718</v>
      </c>
      <c r="C107" s="419" t="s">
        <v>719</v>
      </c>
      <c r="D107" s="419" t="s">
        <v>718</v>
      </c>
      <c r="E107" s="420" t="s">
        <v>720</v>
      </c>
      <c r="F107" s="407">
        <f>0.11462/1000*277.78</f>
        <v>3.1839143599999994E-2</v>
      </c>
      <c r="G107" s="78"/>
      <c r="H107" s="128"/>
      <c r="I107" s="7" t="s">
        <v>176</v>
      </c>
      <c r="J107" s="7" t="s">
        <v>420</v>
      </c>
      <c r="K107" s="405">
        <v>2023</v>
      </c>
      <c r="L107" s="413" t="s">
        <v>603</v>
      </c>
    </row>
    <row r="108" spans="1:12" x14ac:dyDescent="0.35">
      <c r="A108" s="7" t="s">
        <v>462</v>
      </c>
      <c r="B108" s="403" t="s">
        <v>721</v>
      </c>
      <c r="C108" s="419" t="s">
        <v>722</v>
      </c>
      <c r="D108" s="419" t="s">
        <v>721</v>
      </c>
      <c r="E108" s="420" t="s">
        <v>723</v>
      </c>
      <c r="F108" s="407">
        <f>0.11462/1000*277.78</f>
        <v>3.1839143599999994E-2</v>
      </c>
      <c r="G108" s="78"/>
      <c r="H108" s="128"/>
      <c r="I108" s="7" t="s">
        <v>176</v>
      </c>
      <c r="J108" s="7" t="s">
        <v>420</v>
      </c>
      <c r="K108" s="405">
        <v>2024</v>
      </c>
      <c r="L108" s="413" t="s">
        <v>603</v>
      </c>
    </row>
    <row r="109" spans="1:12" x14ac:dyDescent="0.35">
      <c r="A109" s="7" t="s">
        <v>462</v>
      </c>
      <c r="B109" s="7" t="s">
        <v>724</v>
      </c>
      <c r="C109" s="421" t="s">
        <v>725</v>
      </c>
      <c r="D109" s="421" t="s">
        <v>724</v>
      </c>
      <c r="E109" s="422" t="s">
        <v>726</v>
      </c>
      <c r="F109" s="407">
        <f>1/1000*0.13593</f>
        <v>1.3593000000000001E-4</v>
      </c>
      <c r="G109" s="78"/>
      <c r="H109" s="128"/>
      <c r="I109" s="7" t="s">
        <v>68</v>
      </c>
      <c r="J109" s="7" t="s">
        <v>420</v>
      </c>
      <c r="K109" s="405">
        <v>2020</v>
      </c>
      <c r="L109" s="413" t="s">
        <v>603</v>
      </c>
    </row>
    <row r="110" spans="1:12" x14ac:dyDescent="0.35">
      <c r="A110" s="7" t="s">
        <v>462</v>
      </c>
      <c r="B110" s="7" t="s">
        <v>727</v>
      </c>
      <c r="C110" s="421" t="s">
        <v>728</v>
      </c>
      <c r="D110" s="421" t="s">
        <v>727</v>
      </c>
      <c r="E110" s="422" t="s">
        <v>729</v>
      </c>
      <c r="F110" s="407">
        <f>1/1000*0.12357</f>
        <v>1.2357000000000001E-4</v>
      </c>
      <c r="G110" s="78"/>
      <c r="H110" s="128"/>
      <c r="I110" s="7" t="s">
        <v>68</v>
      </c>
      <c r="J110" s="7" t="s">
        <v>420</v>
      </c>
      <c r="K110" s="405">
        <v>2021</v>
      </c>
      <c r="L110" s="413" t="s">
        <v>603</v>
      </c>
    </row>
    <row r="111" spans="1:12" x14ac:dyDescent="0.35">
      <c r="A111" s="7" t="s">
        <v>462</v>
      </c>
      <c r="B111" s="7" t="s">
        <v>730</v>
      </c>
      <c r="C111" s="421" t="s">
        <v>731</v>
      </c>
      <c r="D111" s="421" t="s">
        <v>730</v>
      </c>
      <c r="E111" s="422" t="s">
        <v>732</v>
      </c>
      <c r="F111" s="407">
        <f>1/1000*0.13136</f>
        <v>1.3136000000000002E-4</v>
      </c>
      <c r="G111" s="78"/>
      <c r="H111" s="128"/>
      <c r="I111" s="7" t="s">
        <v>68</v>
      </c>
      <c r="J111" s="7" t="s">
        <v>420</v>
      </c>
      <c r="K111" s="405">
        <v>2022</v>
      </c>
      <c r="L111" s="413" t="s">
        <v>603</v>
      </c>
    </row>
    <row r="112" spans="1:12" x14ac:dyDescent="0.35">
      <c r="A112" s="7" t="s">
        <v>462</v>
      </c>
      <c r="B112" s="403" t="s">
        <v>733</v>
      </c>
      <c r="C112" s="419" t="s">
        <v>734</v>
      </c>
      <c r="D112" s="419" t="s">
        <v>733</v>
      </c>
      <c r="E112" s="420" t="s">
        <v>735</v>
      </c>
      <c r="F112" s="407">
        <f>0.11462/1000</f>
        <v>1.1462E-4</v>
      </c>
      <c r="G112" s="78"/>
      <c r="H112" s="128"/>
      <c r="I112" s="7" t="s">
        <v>68</v>
      </c>
      <c r="J112" s="7" t="s">
        <v>420</v>
      </c>
      <c r="K112" s="405">
        <v>2023</v>
      </c>
      <c r="L112" s="413" t="s">
        <v>603</v>
      </c>
    </row>
    <row r="113" spans="1:12" x14ac:dyDescent="0.35">
      <c r="A113" s="7" t="s">
        <v>462</v>
      </c>
      <c r="B113" s="403" t="s">
        <v>736</v>
      </c>
      <c r="C113" s="419" t="s">
        <v>737</v>
      </c>
      <c r="D113" s="419" t="s">
        <v>736</v>
      </c>
      <c r="E113" s="420" t="s">
        <v>738</v>
      </c>
      <c r="F113" s="407">
        <f>0.11462/1000</f>
        <v>1.1462E-4</v>
      </c>
      <c r="G113" s="78"/>
      <c r="H113" s="128"/>
      <c r="I113" s="7" t="s">
        <v>68</v>
      </c>
      <c r="J113" s="7" t="s">
        <v>420</v>
      </c>
      <c r="K113" s="405">
        <v>2024</v>
      </c>
      <c r="L113" s="413" t="s">
        <v>603</v>
      </c>
    </row>
    <row r="114" spans="1:12" x14ac:dyDescent="0.35">
      <c r="A114" s="7" t="s">
        <v>462</v>
      </c>
      <c r="B114" s="7" t="s">
        <v>739</v>
      </c>
      <c r="C114" s="421" t="s">
        <v>740</v>
      </c>
      <c r="D114" s="421" t="s">
        <v>739</v>
      </c>
      <c r="E114" s="422" t="s">
        <v>741</v>
      </c>
      <c r="F114" s="407">
        <v>0.13593</v>
      </c>
      <c r="G114" s="128"/>
      <c r="H114" s="128"/>
      <c r="I114" s="7" t="s">
        <v>72</v>
      </c>
      <c r="J114" s="7" t="s">
        <v>420</v>
      </c>
      <c r="K114" s="405">
        <v>2020</v>
      </c>
      <c r="L114" s="413" t="s">
        <v>603</v>
      </c>
    </row>
    <row r="115" spans="1:12" x14ac:dyDescent="0.35">
      <c r="A115" s="7" t="s">
        <v>462</v>
      </c>
      <c r="B115" s="7" t="s">
        <v>742</v>
      </c>
      <c r="C115" s="421" t="s">
        <v>743</v>
      </c>
      <c r="D115" s="421" t="s">
        <v>742</v>
      </c>
      <c r="E115" s="422" t="s">
        <v>744</v>
      </c>
      <c r="F115" s="407">
        <v>0.12357</v>
      </c>
      <c r="G115" s="128"/>
      <c r="H115" s="128"/>
      <c r="I115" s="7" t="s">
        <v>72</v>
      </c>
      <c r="J115" s="7" t="s">
        <v>420</v>
      </c>
      <c r="K115" s="405">
        <v>2021</v>
      </c>
      <c r="L115" s="413" t="s">
        <v>603</v>
      </c>
    </row>
    <row r="116" spans="1:12" x14ac:dyDescent="0.35">
      <c r="A116" s="7" t="s">
        <v>462</v>
      </c>
      <c r="B116" s="7" t="s">
        <v>745</v>
      </c>
      <c r="C116" s="421" t="s">
        <v>746</v>
      </c>
      <c r="D116" s="421" t="s">
        <v>745</v>
      </c>
      <c r="E116" s="422" t="s">
        <v>747</v>
      </c>
      <c r="F116" s="407">
        <v>0.13136</v>
      </c>
      <c r="G116" s="128"/>
      <c r="H116" s="128"/>
      <c r="I116" s="7" t="s">
        <v>72</v>
      </c>
      <c r="J116" s="7" t="s">
        <v>420</v>
      </c>
      <c r="K116" s="405">
        <v>2022</v>
      </c>
      <c r="L116" s="413" t="s">
        <v>603</v>
      </c>
    </row>
    <row r="117" spans="1:12" x14ac:dyDescent="0.35">
      <c r="A117" s="7" t="s">
        <v>462</v>
      </c>
      <c r="B117" s="403" t="s">
        <v>748</v>
      </c>
      <c r="C117" s="419" t="s">
        <v>749</v>
      </c>
      <c r="D117" s="419" t="s">
        <v>748</v>
      </c>
      <c r="E117" s="420" t="s">
        <v>750</v>
      </c>
      <c r="F117" s="407">
        <v>0.11462</v>
      </c>
      <c r="G117" s="128"/>
      <c r="H117" s="128"/>
      <c r="I117" s="7" t="s">
        <v>72</v>
      </c>
      <c r="J117" s="7" t="s">
        <v>420</v>
      </c>
      <c r="K117" s="405">
        <v>2023</v>
      </c>
      <c r="L117" s="413" t="s">
        <v>603</v>
      </c>
    </row>
    <row r="118" spans="1:12" x14ac:dyDescent="0.35">
      <c r="A118" s="7" t="s">
        <v>462</v>
      </c>
      <c r="B118" s="403" t="s">
        <v>751</v>
      </c>
      <c r="C118" s="419" t="s">
        <v>752</v>
      </c>
      <c r="D118" s="419" t="s">
        <v>751</v>
      </c>
      <c r="E118" s="420" t="s">
        <v>753</v>
      </c>
      <c r="F118" s="407">
        <v>0.11462</v>
      </c>
      <c r="G118" s="128"/>
      <c r="H118" s="128"/>
      <c r="I118" s="7" t="s">
        <v>72</v>
      </c>
      <c r="J118" s="7" t="s">
        <v>420</v>
      </c>
      <c r="K118" s="405">
        <v>2024</v>
      </c>
      <c r="L118" s="413" t="s">
        <v>603</v>
      </c>
    </row>
    <row r="119" spans="1:12" x14ac:dyDescent="0.35">
      <c r="A119" s="7" t="s">
        <v>462</v>
      </c>
      <c r="B119" s="7" t="s">
        <v>754</v>
      </c>
      <c r="C119" s="421" t="s">
        <v>754</v>
      </c>
      <c r="D119" s="421" t="s">
        <v>754</v>
      </c>
      <c r="E119" s="422" t="s">
        <v>755</v>
      </c>
      <c r="F119" s="412">
        <v>2.5305555555575798E-2</v>
      </c>
      <c r="G119" s="78"/>
      <c r="H119" s="128"/>
      <c r="I119" s="7" t="s">
        <v>176</v>
      </c>
      <c r="J119" s="7" t="s">
        <v>648</v>
      </c>
      <c r="K119" s="405">
        <v>2020</v>
      </c>
      <c r="L119" s="406" t="s">
        <v>649</v>
      </c>
    </row>
    <row r="120" spans="1:12" x14ac:dyDescent="0.35">
      <c r="A120" s="7" t="s">
        <v>462</v>
      </c>
      <c r="B120" s="7" t="s">
        <v>756</v>
      </c>
      <c r="C120" s="421" t="s">
        <v>756</v>
      </c>
      <c r="D120" s="421" t="s">
        <v>756</v>
      </c>
      <c r="E120" s="422" t="s">
        <v>757</v>
      </c>
      <c r="F120" s="412">
        <v>2.45000000000196E-2</v>
      </c>
      <c r="G120" s="78"/>
      <c r="H120" s="128"/>
      <c r="I120" s="7" t="s">
        <v>176</v>
      </c>
      <c r="J120" s="7" t="s">
        <v>648</v>
      </c>
      <c r="K120" s="405">
        <v>2021</v>
      </c>
      <c r="L120" s="406" t="s">
        <v>649</v>
      </c>
    </row>
    <row r="121" spans="1:12" x14ac:dyDescent="0.35">
      <c r="A121" s="7" t="s">
        <v>462</v>
      </c>
      <c r="B121" s="7" t="s">
        <v>758</v>
      </c>
      <c r="C121" s="421" t="s">
        <v>758</v>
      </c>
      <c r="D121" s="421" t="s">
        <v>758</v>
      </c>
      <c r="E121" s="422" t="s">
        <v>759</v>
      </c>
      <c r="F121" s="412">
        <v>2.0805721999999995E-2</v>
      </c>
      <c r="G121" s="78"/>
      <c r="H121" s="128"/>
      <c r="I121" s="7" t="s">
        <v>176</v>
      </c>
      <c r="J121" s="7" t="s">
        <v>648</v>
      </c>
      <c r="K121" s="405">
        <v>2022</v>
      </c>
      <c r="L121" s="406" t="s">
        <v>649</v>
      </c>
    </row>
    <row r="122" spans="1:12" x14ac:dyDescent="0.35">
      <c r="A122" s="7" t="s">
        <v>462</v>
      </c>
      <c r="B122" s="7" t="s">
        <v>760</v>
      </c>
      <c r="C122" s="421" t="s">
        <v>760</v>
      </c>
      <c r="D122" s="421" t="s">
        <v>760</v>
      </c>
      <c r="E122" s="422" t="s">
        <v>761</v>
      </c>
      <c r="F122" s="412">
        <f>277.78*0.0000721</f>
        <v>2.0027937999999999E-2</v>
      </c>
      <c r="G122" s="78"/>
      <c r="H122" s="128"/>
      <c r="I122" s="7" t="s">
        <v>176</v>
      </c>
      <c r="J122" s="7" t="s">
        <v>648</v>
      </c>
      <c r="K122" s="405">
        <v>2023</v>
      </c>
      <c r="L122" s="406" t="s">
        <v>649</v>
      </c>
    </row>
    <row r="123" spans="1:12" x14ac:dyDescent="0.35">
      <c r="A123" s="7" t="s">
        <v>462</v>
      </c>
      <c r="B123" s="7" t="s">
        <v>762</v>
      </c>
      <c r="C123" s="421" t="s">
        <v>762</v>
      </c>
      <c r="D123" s="421" t="s">
        <v>762</v>
      </c>
      <c r="E123" s="422" t="s">
        <v>763</v>
      </c>
      <c r="F123" s="412">
        <f>277.78*0.0000721</f>
        <v>2.0027937999999999E-2</v>
      </c>
      <c r="G123" s="78"/>
      <c r="H123" s="128"/>
      <c r="I123" s="7" t="s">
        <v>176</v>
      </c>
      <c r="J123" s="7" t="s">
        <v>648</v>
      </c>
      <c r="K123" s="405">
        <v>2024</v>
      </c>
      <c r="L123" s="406" t="s">
        <v>649</v>
      </c>
    </row>
    <row r="124" spans="1:12" x14ac:dyDescent="0.35">
      <c r="A124" s="7" t="s">
        <v>462</v>
      </c>
      <c r="B124" s="7" t="s">
        <v>764</v>
      </c>
      <c r="C124" s="421" t="s">
        <v>764</v>
      </c>
      <c r="D124" s="421" t="s">
        <v>764</v>
      </c>
      <c r="E124" s="422" t="s">
        <v>765</v>
      </c>
      <c r="F124" s="412">
        <v>9.1100000000000005E-5</v>
      </c>
      <c r="G124" s="78"/>
      <c r="H124" s="128"/>
      <c r="I124" s="7" t="s">
        <v>68</v>
      </c>
      <c r="J124" s="7" t="s">
        <v>648</v>
      </c>
      <c r="K124" s="405">
        <v>2020</v>
      </c>
      <c r="L124" s="406" t="s">
        <v>649</v>
      </c>
    </row>
    <row r="125" spans="1:12" x14ac:dyDescent="0.35">
      <c r="A125" s="7" t="s">
        <v>462</v>
      </c>
      <c r="B125" s="7" t="s">
        <v>766</v>
      </c>
      <c r="C125" s="421" t="s">
        <v>766</v>
      </c>
      <c r="D125" s="421" t="s">
        <v>766</v>
      </c>
      <c r="E125" s="422" t="s">
        <v>767</v>
      </c>
      <c r="F125" s="412">
        <v>8.8200000000000003E-5</v>
      </c>
      <c r="G125" s="78"/>
      <c r="H125" s="128"/>
      <c r="I125" s="7" t="s">
        <v>68</v>
      </c>
      <c r="J125" s="7" t="s">
        <v>648</v>
      </c>
      <c r="K125" s="405">
        <v>2021</v>
      </c>
      <c r="L125" s="406" t="s">
        <v>649</v>
      </c>
    </row>
    <row r="126" spans="1:12" x14ac:dyDescent="0.35">
      <c r="A126" s="7" t="s">
        <v>462</v>
      </c>
      <c r="B126" s="7" t="s">
        <v>768</v>
      </c>
      <c r="C126" s="421" t="s">
        <v>768</v>
      </c>
      <c r="D126" s="421" t="s">
        <v>768</v>
      </c>
      <c r="E126" s="422" t="s">
        <v>769</v>
      </c>
      <c r="F126" s="412">
        <v>7.4899999999999991E-5</v>
      </c>
      <c r="G126" s="78"/>
      <c r="H126" s="128"/>
      <c r="I126" s="7" t="s">
        <v>68</v>
      </c>
      <c r="J126" s="7" t="s">
        <v>648</v>
      </c>
      <c r="K126" s="405">
        <v>2022</v>
      </c>
      <c r="L126" s="406" t="s">
        <v>649</v>
      </c>
    </row>
    <row r="127" spans="1:12" x14ac:dyDescent="0.35">
      <c r="A127" s="7" t="s">
        <v>462</v>
      </c>
      <c r="B127" s="7" t="s">
        <v>770</v>
      </c>
      <c r="C127" s="421" t="s">
        <v>770</v>
      </c>
      <c r="D127" s="421" t="s">
        <v>770</v>
      </c>
      <c r="E127" s="422" t="s">
        <v>771</v>
      </c>
      <c r="F127" s="412">
        <v>7.2099999999999991E-5</v>
      </c>
      <c r="G127" s="78"/>
      <c r="H127" s="128"/>
      <c r="I127" s="7" t="s">
        <v>68</v>
      </c>
      <c r="J127" s="7" t="s">
        <v>648</v>
      </c>
      <c r="K127" s="405">
        <v>2023</v>
      </c>
      <c r="L127" s="406" t="s">
        <v>649</v>
      </c>
    </row>
    <row r="128" spans="1:12" x14ac:dyDescent="0.35">
      <c r="A128" s="7" t="s">
        <v>462</v>
      </c>
      <c r="B128" s="7" t="s">
        <v>772</v>
      </c>
      <c r="C128" s="421" t="s">
        <v>772</v>
      </c>
      <c r="D128" s="421" t="s">
        <v>772</v>
      </c>
      <c r="E128" s="422" t="s">
        <v>773</v>
      </c>
      <c r="F128" s="412">
        <v>7.2099999999999991E-5</v>
      </c>
      <c r="G128" s="78"/>
      <c r="H128" s="128"/>
      <c r="I128" s="7" t="s">
        <v>68</v>
      </c>
      <c r="J128" s="7" t="s">
        <v>648</v>
      </c>
      <c r="K128" s="405">
        <v>2024</v>
      </c>
      <c r="L128" s="406" t="s">
        <v>649</v>
      </c>
    </row>
    <row r="129" spans="1:12" x14ac:dyDescent="0.35">
      <c r="A129" s="7" t="s">
        <v>462</v>
      </c>
      <c r="B129" s="7" t="s">
        <v>774</v>
      </c>
      <c r="C129" s="421" t="s">
        <v>774</v>
      </c>
      <c r="D129" s="421" t="s">
        <v>774</v>
      </c>
      <c r="E129" s="422" t="s">
        <v>775</v>
      </c>
      <c r="F129" s="412">
        <v>9.11E-2</v>
      </c>
      <c r="G129" s="128"/>
      <c r="H129" s="128"/>
      <c r="I129" s="7" t="s">
        <v>72</v>
      </c>
      <c r="J129" s="7" t="s">
        <v>648</v>
      </c>
      <c r="K129" s="405">
        <v>2020</v>
      </c>
      <c r="L129" s="406" t="s">
        <v>649</v>
      </c>
    </row>
    <row r="130" spans="1:12" x14ac:dyDescent="0.35">
      <c r="A130" s="7" t="s">
        <v>462</v>
      </c>
      <c r="B130" s="7" t="s">
        <v>776</v>
      </c>
      <c r="C130" s="421" t="s">
        <v>776</v>
      </c>
      <c r="D130" s="421" t="s">
        <v>776</v>
      </c>
      <c r="E130" s="422" t="s">
        <v>777</v>
      </c>
      <c r="F130" s="412">
        <v>8.8200000000000001E-2</v>
      </c>
      <c r="G130" s="128"/>
      <c r="H130" s="128"/>
      <c r="I130" s="7" t="s">
        <v>72</v>
      </c>
      <c r="J130" s="7" t="s">
        <v>648</v>
      </c>
      <c r="K130" s="405">
        <v>2021</v>
      </c>
      <c r="L130" s="406" t="s">
        <v>649</v>
      </c>
    </row>
    <row r="131" spans="1:12" x14ac:dyDescent="0.35">
      <c r="A131" s="7" t="s">
        <v>462</v>
      </c>
      <c r="B131" s="7" t="s">
        <v>778</v>
      </c>
      <c r="C131" s="421" t="s">
        <v>778</v>
      </c>
      <c r="D131" s="421" t="s">
        <v>778</v>
      </c>
      <c r="E131" s="422" t="s">
        <v>779</v>
      </c>
      <c r="F131" s="412">
        <v>7.4899999999999994E-2</v>
      </c>
      <c r="G131" s="128"/>
      <c r="H131" s="128"/>
      <c r="I131" s="7" t="s">
        <v>72</v>
      </c>
      <c r="J131" s="7" t="s">
        <v>648</v>
      </c>
      <c r="K131" s="405">
        <v>2022</v>
      </c>
      <c r="L131" s="406" t="s">
        <v>649</v>
      </c>
    </row>
    <row r="132" spans="1:12" x14ac:dyDescent="0.35">
      <c r="A132" s="7" t="s">
        <v>462</v>
      </c>
      <c r="B132" s="7" t="s">
        <v>780</v>
      </c>
      <c r="C132" s="421" t="s">
        <v>780</v>
      </c>
      <c r="D132" s="421" t="s">
        <v>780</v>
      </c>
      <c r="E132" s="422" t="s">
        <v>781</v>
      </c>
      <c r="F132" s="412">
        <v>7.2099999999999997E-2</v>
      </c>
      <c r="G132" s="128"/>
      <c r="H132" s="128"/>
      <c r="I132" s="7" t="s">
        <v>72</v>
      </c>
      <c r="J132" s="7" t="s">
        <v>648</v>
      </c>
      <c r="K132" s="405">
        <v>2023</v>
      </c>
      <c r="L132" s="406" t="s">
        <v>649</v>
      </c>
    </row>
    <row r="133" spans="1:12" x14ac:dyDescent="0.35">
      <c r="A133" s="7" t="s">
        <v>462</v>
      </c>
      <c r="B133" s="7" t="s">
        <v>782</v>
      </c>
      <c r="C133" s="421" t="s">
        <v>782</v>
      </c>
      <c r="D133" s="421" t="s">
        <v>782</v>
      </c>
      <c r="E133" s="422" t="s">
        <v>783</v>
      </c>
      <c r="F133" s="412">
        <v>7.2099999999999997E-2</v>
      </c>
      <c r="G133" s="128"/>
      <c r="H133" s="128"/>
      <c r="I133" s="7" t="s">
        <v>72</v>
      </c>
      <c r="J133" s="7" t="s">
        <v>648</v>
      </c>
      <c r="K133" s="405">
        <v>2024</v>
      </c>
      <c r="L133" s="406" t="s">
        <v>649</v>
      </c>
    </row>
    <row r="134" spans="1:12" x14ac:dyDescent="0.35">
      <c r="A134" s="7" t="s">
        <v>462</v>
      </c>
      <c r="B134" s="7" t="s">
        <v>784</v>
      </c>
      <c r="C134" s="421" t="s">
        <v>784</v>
      </c>
      <c r="D134" s="421" t="s">
        <v>784</v>
      </c>
      <c r="E134" s="422" t="s">
        <v>785</v>
      </c>
      <c r="F134" s="412">
        <v>2.7777777777799998E-2</v>
      </c>
      <c r="G134" s="78"/>
      <c r="H134" s="128"/>
      <c r="I134" s="7" t="s">
        <v>176</v>
      </c>
      <c r="J134" s="7" t="s">
        <v>420</v>
      </c>
      <c r="K134" s="405">
        <v>2020</v>
      </c>
      <c r="L134" s="406" t="s">
        <v>680</v>
      </c>
    </row>
    <row r="135" spans="1:12" x14ac:dyDescent="0.35">
      <c r="A135" s="7" t="s">
        <v>462</v>
      </c>
      <c r="B135" s="7" t="s">
        <v>786</v>
      </c>
      <c r="C135" s="421" t="s">
        <v>786</v>
      </c>
      <c r="D135" s="421" t="s">
        <v>786</v>
      </c>
      <c r="E135" s="422" t="s">
        <v>787</v>
      </c>
      <c r="F135" s="412">
        <v>2.7777777777799998E-2</v>
      </c>
      <c r="G135" s="78"/>
      <c r="H135" s="128"/>
      <c r="I135" s="7" t="s">
        <v>176</v>
      </c>
      <c r="J135" s="7" t="s">
        <v>420</v>
      </c>
      <c r="K135" s="405">
        <v>2021</v>
      </c>
      <c r="L135" s="406" t="s">
        <v>680</v>
      </c>
    </row>
    <row r="136" spans="1:12" x14ac:dyDescent="0.35">
      <c r="A136" s="7" t="s">
        <v>462</v>
      </c>
      <c r="B136" s="7" t="s">
        <v>788</v>
      </c>
      <c r="C136" s="421" t="s">
        <v>788</v>
      </c>
      <c r="D136" s="421" t="s">
        <v>788</v>
      </c>
      <c r="E136" s="422" t="s">
        <v>789</v>
      </c>
      <c r="F136" s="412">
        <v>2.7777777777799998E-2</v>
      </c>
      <c r="G136" s="78"/>
      <c r="H136" s="128"/>
      <c r="I136" s="7" t="s">
        <v>176</v>
      </c>
      <c r="J136" s="7" t="s">
        <v>420</v>
      </c>
      <c r="K136" s="405">
        <v>2022</v>
      </c>
      <c r="L136" s="406" t="s">
        <v>680</v>
      </c>
    </row>
    <row r="137" spans="1:12" x14ac:dyDescent="0.35">
      <c r="A137" s="7" t="s">
        <v>462</v>
      </c>
      <c r="B137" s="7" t="s">
        <v>790</v>
      </c>
      <c r="C137" s="421" t="s">
        <v>790</v>
      </c>
      <c r="D137" s="421" t="s">
        <v>790</v>
      </c>
      <c r="E137" s="422" t="s">
        <v>791</v>
      </c>
      <c r="F137" s="412">
        <v>2.7777777777799998E-2</v>
      </c>
      <c r="G137" s="78"/>
      <c r="H137" s="128"/>
      <c r="I137" s="7" t="s">
        <v>176</v>
      </c>
      <c r="J137" s="7" t="s">
        <v>420</v>
      </c>
      <c r="K137" s="405">
        <v>2023</v>
      </c>
      <c r="L137" s="406" t="s">
        <v>680</v>
      </c>
    </row>
    <row r="138" spans="1:12" x14ac:dyDescent="0.35">
      <c r="A138" s="7" t="s">
        <v>462</v>
      </c>
      <c r="B138" s="7" t="s">
        <v>792</v>
      </c>
      <c r="C138" s="421" t="s">
        <v>792</v>
      </c>
      <c r="D138" s="421" t="s">
        <v>792</v>
      </c>
      <c r="E138" s="422" t="s">
        <v>793</v>
      </c>
      <c r="F138" s="412">
        <v>2.7777777777799998E-2</v>
      </c>
      <c r="G138" s="78"/>
      <c r="H138" s="128"/>
      <c r="I138" s="7" t="s">
        <v>176</v>
      </c>
      <c r="J138" s="7" t="s">
        <v>420</v>
      </c>
      <c r="K138" s="405">
        <v>2024</v>
      </c>
      <c r="L138" s="406" t="s">
        <v>680</v>
      </c>
    </row>
    <row r="139" spans="1:12" x14ac:dyDescent="0.35">
      <c r="A139" s="7" t="s">
        <v>462</v>
      </c>
      <c r="B139" s="7" t="s">
        <v>794</v>
      </c>
      <c r="C139" s="421" t="s">
        <v>794</v>
      </c>
      <c r="D139" s="421" t="s">
        <v>794</v>
      </c>
      <c r="E139" s="422" t="s">
        <v>795</v>
      </c>
      <c r="F139" s="412">
        <v>1E-4</v>
      </c>
      <c r="G139" s="78"/>
      <c r="H139" s="128"/>
      <c r="I139" s="7" t="s">
        <v>68</v>
      </c>
      <c r="J139" s="7" t="s">
        <v>420</v>
      </c>
      <c r="K139" s="405">
        <v>2020</v>
      </c>
      <c r="L139" s="406" t="s">
        <v>680</v>
      </c>
    </row>
    <row r="140" spans="1:12" x14ac:dyDescent="0.35">
      <c r="A140" s="7" t="s">
        <v>462</v>
      </c>
      <c r="B140" s="7" t="s">
        <v>796</v>
      </c>
      <c r="C140" s="421" t="s">
        <v>796</v>
      </c>
      <c r="D140" s="421" t="s">
        <v>796</v>
      </c>
      <c r="E140" s="422" t="s">
        <v>797</v>
      </c>
      <c r="F140" s="412">
        <v>1E-4</v>
      </c>
      <c r="G140" s="78"/>
      <c r="H140" s="128"/>
      <c r="I140" s="7" t="s">
        <v>68</v>
      </c>
      <c r="J140" s="7" t="s">
        <v>420</v>
      </c>
      <c r="K140" s="405">
        <v>2021</v>
      </c>
      <c r="L140" s="406" t="s">
        <v>680</v>
      </c>
    </row>
    <row r="141" spans="1:12" x14ac:dyDescent="0.35">
      <c r="A141" s="7" t="s">
        <v>462</v>
      </c>
      <c r="B141" s="7" t="s">
        <v>798</v>
      </c>
      <c r="C141" s="421" t="s">
        <v>798</v>
      </c>
      <c r="D141" s="421" t="s">
        <v>798</v>
      </c>
      <c r="E141" s="422" t="s">
        <v>799</v>
      </c>
      <c r="F141" s="412">
        <v>1E-4</v>
      </c>
      <c r="G141" s="78"/>
      <c r="H141" s="128"/>
      <c r="I141" s="7" t="s">
        <v>68</v>
      </c>
      <c r="J141" s="7" t="s">
        <v>420</v>
      </c>
      <c r="K141" s="405">
        <v>2022</v>
      </c>
      <c r="L141" s="406" t="s">
        <v>680</v>
      </c>
    </row>
    <row r="142" spans="1:12" x14ac:dyDescent="0.35">
      <c r="A142" s="7" t="s">
        <v>462</v>
      </c>
      <c r="B142" s="7" t="s">
        <v>800</v>
      </c>
      <c r="C142" s="421" t="s">
        <v>800</v>
      </c>
      <c r="D142" s="421" t="s">
        <v>800</v>
      </c>
      <c r="E142" s="422" t="s">
        <v>801</v>
      </c>
      <c r="F142" s="412">
        <v>1E-4</v>
      </c>
      <c r="G142" s="78"/>
      <c r="H142" s="128"/>
      <c r="I142" s="7" t="s">
        <v>68</v>
      </c>
      <c r="J142" s="7" t="s">
        <v>420</v>
      </c>
      <c r="K142" s="405">
        <v>2023</v>
      </c>
      <c r="L142" s="406" t="s">
        <v>680</v>
      </c>
    </row>
    <row r="143" spans="1:12" x14ac:dyDescent="0.35">
      <c r="A143" s="7" t="s">
        <v>462</v>
      </c>
      <c r="B143" s="7" t="s">
        <v>802</v>
      </c>
      <c r="C143" s="421" t="s">
        <v>802</v>
      </c>
      <c r="D143" s="421" t="s">
        <v>802</v>
      </c>
      <c r="E143" s="422" t="s">
        <v>803</v>
      </c>
      <c r="F143" s="412">
        <v>1E-4</v>
      </c>
      <c r="G143" s="78"/>
      <c r="H143" s="128"/>
      <c r="I143" s="7" t="s">
        <v>68</v>
      </c>
      <c r="J143" s="7" t="s">
        <v>420</v>
      </c>
      <c r="K143" s="405">
        <v>2024</v>
      </c>
      <c r="L143" s="406" t="s">
        <v>680</v>
      </c>
    </row>
    <row r="144" spans="1:12" x14ac:dyDescent="0.35">
      <c r="A144" s="7" t="s">
        <v>462</v>
      </c>
      <c r="B144" s="7" t="s">
        <v>804</v>
      </c>
      <c r="C144" s="421" t="s">
        <v>804</v>
      </c>
      <c r="D144" s="421" t="s">
        <v>804</v>
      </c>
      <c r="E144" s="422" t="s">
        <v>805</v>
      </c>
      <c r="F144" s="412">
        <v>0.1</v>
      </c>
      <c r="G144" s="128"/>
      <c r="H144" s="128"/>
      <c r="I144" s="7" t="s">
        <v>72</v>
      </c>
      <c r="J144" s="7" t="s">
        <v>420</v>
      </c>
      <c r="K144" s="405">
        <v>2020</v>
      </c>
      <c r="L144" s="406" t="s">
        <v>680</v>
      </c>
    </row>
    <row r="145" spans="1:12" x14ac:dyDescent="0.35">
      <c r="A145" s="7" t="s">
        <v>462</v>
      </c>
      <c r="B145" s="7" t="s">
        <v>806</v>
      </c>
      <c r="C145" s="421" t="s">
        <v>806</v>
      </c>
      <c r="D145" s="421" t="s">
        <v>806</v>
      </c>
      <c r="E145" s="422" t="s">
        <v>807</v>
      </c>
      <c r="F145" s="412">
        <v>0.1</v>
      </c>
      <c r="G145" s="128"/>
      <c r="H145" s="128"/>
      <c r="I145" s="7" t="s">
        <v>72</v>
      </c>
      <c r="J145" s="7" t="s">
        <v>420</v>
      </c>
      <c r="K145" s="405">
        <v>2021</v>
      </c>
      <c r="L145" s="406" t="s">
        <v>680</v>
      </c>
    </row>
    <row r="146" spans="1:12" x14ac:dyDescent="0.35">
      <c r="A146" s="7" t="s">
        <v>462</v>
      </c>
      <c r="B146" s="7" t="s">
        <v>808</v>
      </c>
      <c r="C146" s="421" t="s">
        <v>808</v>
      </c>
      <c r="D146" s="421" t="s">
        <v>808</v>
      </c>
      <c r="E146" s="422" t="s">
        <v>809</v>
      </c>
      <c r="F146" s="412">
        <v>0.1</v>
      </c>
      <c r="G146" s="128"/>
      <c r="H146" s="128"/>
      <c r="I146" s="7" t="s">
        <v>72</v>
      </c>
      <c r="J146" s="7" t="s">
        <v>420</v>
      </c>
      <c r="K146" s="405">
        <v>2022</v>
      </c>
      <c r="L146" s="406" t="s">
        <v>680</v>
      </c>
    </row>
    <row r="147" spans="1:12" x14ac:dyDescent="0.35">
      <c r="A147" s="7" t="s">
        <v>462</v>
      </c>
      <c r="B147" s="7" t="s">
        <v>810</v>
      </c>
      <c r="C147" s="421" t="s">
        <v>810</v>
      </c>
      <c r="D147" s="421" t="s">
        <v>810</v>
      </c>
      <c r="E147" s="422" t="s">
        <v>811</v>
      </c>
      <c r="F147" s="412">
        <v>0.1</v>
      </c>
      <c r="G147" s="128"/>
      <c r="H147" s="128"/>
      <c r="I147" s="7" t="s">
        <v>72</v>
      </c>
      <c r="J147" s="7" t="s">
        <v>420</v>
      </c>
      <c r="K147" s="405">
        <v>2023</v>
      </c>
      <c r="L147" s="406" t="s">
        <v>680</v>
      </c>
    </row>
    <row r="148" spans="1:12" x14ac:dyDescent="0.35">
      <c r="A148" s="7" t="s">
        <v>462</v>
      </c>
      <c r="B148" s="7" t="s">
        <v>812</v>
      </c>
      <c r="C148" s="421" t="s">
        <v>812</v>
      </c>
      <c r="D148" s="421" t="s">
        <v>812</v>
      </c>
      <c r="E148" s="422" t="s">
        <v>813</v>
      </c>
      <c r="F148" s="412">
        <v>0.1</v>
      </c>
      <c r="G148" s="128"/>
      <c r="H148" s="128"/>
      <c r="I148" s="7" t="s">
        <v>72</v>
      </c>
      <c r="J148" s="7" t="s">
        <v>420</v>
      </c>
      <c r="K148" s="405">
        <v>2024</v>
      </c>
      <c r="L148" s="406" t="s">
        <v>680</v>
      </c>
    </row>
    <row r="149" spans="1:12" x14ac:dyDescent="0.35">
      <c r="A149" s="7" t="s">
        <v>814</v>
      </c>
      <c r="B149" s="7" t="s">
        <v>815</v>
      </c>
      <c r="C149" s="421" t="s">
        <v>816</v>
      </c>
      <c r="D149" s="421" t="s">
        <v>815</v>
      </c>
      <c r="E149" s="422" t="s">
        <v>817</v>
      </c>
      <c r="F149" s="412">
        <v>0.15190963529999998</v>
      </c>
      <c r="G149" s="128"/>
      <c r="H149" s="128"/>
      <c r="I149" s="7" t="s">
        <v>176</v>
      </c>
      <c r="J149" s="7" t="s">
        <v>420</v>
      </c>
      <c r="K149" s="405">
        <v>2020</v>
      </c>
      <c r="L149" s="406" t="s">
        <v>818</v>
      </c>
    </row>
    <row r="150" spans="1:12" x14ac:dyDescent="0.35">
      <c r="A150" s="7" t="s">
        <v>814</v>
      </c>
      <c r="B150" s="7" t="s">
        <v>819</v>
      </c>
      <c r="C150" s="421" t="s">
        <v>820</v>
      </c>
      <c r="D150" s="421" t="s">
        <v>819</v>
      </c>
      <c r="E150" s="422" t="s">
        <v>821</v>
      </c>
      <c r="F150" s="412">
        <v>0.17682282659999998</v>
      </c>
      <c r="G150" s="128"/>
      <c r="H150" s="128"/>
      <c r="I150" s="7" t="s">
        <v>176</v>
      </c>
      <c r="J150" s="7" t="s">
        <v>420</v>
      </c>
      <c r="K150" s="405">
        <v>2021</v>
      </c>
      <c r="L150" s="406" t="s">
        <v>822</v>
      </c>
    </row>
    <row r="151" spans="1:12" x14ac:dyDescent="0.35">
      <c r="A151" s="7" t="s">
        <v>814</v>
      </c>
      <c r="B151" s="7" t="s">
        <v>823</v>
      </c>
      <c r="C151" s="421" t="s">
        <v>824</v>
      </c>
      <c r="D151" s="421" t="s">
        <v>823</v>
      </c>
      <c r="E151" s="422" t="s">
        <v>825</v>
      </c>
      <c r="F151" s="412">
        <v>0.19865554859999998</v>
      </c>
      <c r="G151" s="128"/>
      <c r="H151" s="128"/>
      <c r="I151" s="7" t="s">
        <v>176</v>
      </c>
      <c r="J151" s="7" t="s">
        <v>420</v>
      </c>
      <c r="K151" s="405">
        <v>2022</v>
      </c>
      <c r="L151" s="406" t="s">
        <v>826</v>
      </c>
    </row>
    <row r="152" spans="1:12" x14ac:dyDescent="0.35">
      <c r="A152" s="7" t="s">
        <v>814</v>
      </c>
      <c r="B152" s="403" t="s">
        <v>827</v>
      </c>
      <c r="C152" s="419" t="s">
        <v>828</v>
      </c>
      <c r="D152" s="419" t="s">
        <v>827</v>
      </c>
      <c r="E152" s="420" t="s">
        <v>829</v>
      </c>
      <c r="F152" s="407">
        <f>1/1000000*711.658281660583*277.78</f>
        <v>0.19768443747967673</v>
      </c>
      <c r="G152" s="128"/>
      <c r="H152" s="128"/>
      <c r="I152" s="7" t="s">
        <v>176</v>
      </c>
      <c r="J152" s="7" t="s">
        <v>420</v>
      </c>
      <c r="K152" s="405">
        <v>2023</v>
      </c>
      <c r="L152" s="406" t="s">
        <v>830</v>
      </c>
    </row>
    <row r="153" spans="1:12" x14ac:dyDescent="0.35">
      <c r="A153" s="7" t="s">
        <v>814</v>
      </c>
      <c r="B153" s="403" t="s">
        <v>831</v>
      </c>
      <c r="C153" s="419" t="s">
        <v>832</v>
      </c>
      <c r="D153" s="419" t="s">
        <v>831</v>
      </c>
      <c r="E153" s="420" t="s">
        <v>833</v>
      </c>
      <c r="F153" s="407">
        <f>1/1000000*711.658281660583*277.78</f>
        <v>0.19768443747967673</v>
      </c>
      <c r="G153" s="128"/>
      <c r="H153" s="128"/>
      <c r="I153" s="7" t="s">
        <v>176</v>
      </c>
      <c r="J153" s="7" t="s">
        <v>420</v>
      </c>
      <c r="K153" s="405">
        <v>2024</v>
      </c>
      <c r="L153" s="406" t="s">
        <v>830</v>
      </c>
    </row>
    <row r="154" spans="1:12" x14ac:dyDescent="0.35">
      <c r="A154" s="7" t="s">
        <v>814</v>
      </c>
      <c r="B154" s="7" t="s">
        <v>834</v>
      </c>
      <c r="C154" s="421" t="s">
        <v>835</v>
      </c>
      <c r="D154" s="421" t="s">
        <v>834</v>
      </c>
      <c r="E154" s="422" t="s">
        <v>836</v>
      </c>
      <c r="F154" s="412">
        <v>546.89</v>
      </c>
      <c r="G154" s="128"/>
      <c r="H154" s="128"/>
      <c r="I154" s="7" t="s">
        <v>75</v>
      </c>
      <c r="J154" s="7" t="s">
        <v>420</v>
      </c>
      <c r="K154" s="405">
        <v>2020</v>
      </c>
      <c r="L154" s="406" t="s">
        <v>818</v>
      </c>
    </row>
    <row r="155" spans="1:12" x14ac:dyDescent="0.35">
      <c r="A155" s="7" t="s">
        <v>814</v>
      </c>
      <c r="B155" s="7" t="s">
        <v>837</v>
      </c>
      <c r="C155" s="421" t="s">
        <v>838</v>
      </c>
      <c r="D155" s="421" t="s">
        <v>837</v>
      </c>
      <c r="E155" s="422" t="s">
        <v>839</v>
      </c>
      <c r="F155" s="412">
        <v>636.58000000000004</v>
      </c>
      <c r="G155" s="128"/>
      <c r="H155" s="128"/>
      <c r="I155" s="7" t="s">
        <v>75</v>
      </c>
      <c r="J155" s="7" t="s">
        <v>420</v>
      </c>
      <c r="K155" s="405">
        <v>2021</v>
      </c>
      <c r="L155" s="406" t="s">
        <v>822</v>
      </c>
    </row>
    <row r="156" spans="1:12" x14ac:dyDescent="0.35">
      <c r="A156" s="7" t="s">
        <v>814</v>
      </c>
      <c r="B156" s="7" t="s">
        <v>840</v>
      </c>
      <c r="C156" s="421" t="s">
        <v>841</v>
      </c>
      <c r="D156" s="421" t="s">
        <v>840</v>
      </c>
      <c r="E156" s="422" t="s">
        <v>842</v>
      </c>
      <c r="F156" s="412">
        <v>715.18</v>
      </c>
      <c r="G156" s="128"/>
      <c r="H156" s="128"/>
      <c r="I156" s="7" t="s">
        <v>75</v>
      </c>
      <c r="J156" s="7" t="s">
        <v>420</v>
      </c>
      <c r="K156" s="405">
        <v>2022</v>
      </c>
      <c r="L156" s="406" t="s">
        <v>826</v>
      </c>
    </row>
    <row r="157" spans="1:12" x14ac:dyDescent="0.35">
      <c r="A157" s="7" t="s">
        <v>814</v>
      </c>
      <c r="B157" s="403" t="s">
        <v>843</v>
      </c>
      <c r="C157" s="419" t="s">
        <v>844</v>
      </c>
      <c r="D157" s="419" t="s">
        <v>843</v>
      </c>
      <c r="E157" s="420" t="s">
        <v>845</v>
      </c>
      <c r="F157" s="407">
        <f>711.658281660583</f>
        <v>711.65828166058304</v>
      </c>
      <c r="G157" s="128"/>
      <c r="H157" s="128"/>
      <c r="I157" s="7" t="s">
        <v>75</v>
      </c>
      <c r="J157" s="7" t="s">
        <v>420</v>
      </c>
      <c r="K157" s="405">
        <v>2023</v>
      </c>
      <c r="L157" s="406" t="s">
        <v>830</v>
      </c>
    </row>
    <row r="158" spans="1:12" x14ac:dyDescent="0.35">
      <c r="A158" s="7" t="s">
        <v>814</v>
      </c>
      <c r="B158" s="403" t="s">
        <v>846</v>
      </c>
      <c r="C158" s="419" t="s">
        <v>847</v>
      </c>
      <c r="D158" s="419" t="s">
        <v>846</v>
      </c>
      <c r="E158" s="420" t="s">
        <v>848</v>
      </c>
      <c r="F158" s="407">
        <f>711.658281660583</f>
        <v>711.65828166058304</v>
      </c>
      <c r="G158" s="128"/>
      <c r="H158" s="128"/>
      <c r="I158" s="7" t="s">
        <v>75</v>
      </c>
      <c r="J158" s="7" t="s">
        <v>420</v>
      </c>
      <c r="K158" s="405">
        <v>2024</v>
      </c>
      <c r="L158" s="406" t="s">
        <v>830</v>
      </c>
    </row>
    <row r="159" spans="1:12" x14ac:dyDescent="0.35">
      <c r="A159" s="7" t="s">
        <v>814</v>
      </c>
      <c r="B159" s="7" t="s">
        <v>849</v>
      </c>
      <c r="C159" s="421" t="s">
        <v>850</v>
      </c>
      <c r="D159" s="421" t="s">
        <v>849</v>
      </c>
      <c r="E159" s="422" t="s">
        <v>851</v>
      </c>
      <c r="F159" s="412">
        <v>5.4688999999999996E-4</v>
      </c>
      <c r="G159" s="128"/>
      <c r="H159" s="128"/>
      <c r="I159" s="7" t="s">
        <v>176</v>
      </c>
      <c r="J159" s="7" t="s">
        <v>420</v>
      </c>
      <c r="K159" s="405">
        <v>2020</v>
      </c>
      <c r="L159" s="406" t="s">
        <v>818</v>
      </c>
    </row>
    <row r="160" spans="1:12" x14ac:dyDescent="0.35">
      <c r="A160" s="7" t="s">
        <v>814</v>
      </c>
      <c r="B160" s="7" t="s">
        <v>852</v>
      </c>
      <c r="C160" s="421" t="s">
        <v>853</v>
      </c>
      <c r="D160" s="421" t="s">
        <v>852</v>
      </c>
      <c r="E160" s="422" t="s">
        <v>854</v>
      </c>
      <c r="F160" s="412">
        <v>6.3658000000000009E-4</v>
      </c>
      <c r="G160" s="128"/>
      <c r="H160" s="128"/>
      <c r="I160" s="7" t="s">
        <v>68</v>
      </c>
      <c r="J160" s="7" t="s">
        <v>420</v>
      </c>
      <c r="K160" s="405">
        <v>2021</v>
      </c>
      <c r="L160" s="406" t="s">
        <v>822</v>
      </c>
    </row>
    <row r="161" spans="1:12" x14ac:dyDescent="0.35">
      <c r="A161" s="7" t="s">
        <v>814</v>
      </c>
      <c r="B161" s="7" t="s">
        <v>855</v>
      </c>
      <c r="C161" s="421" t="s">
        <v>856</v>
      </c>
      <c r="D161" s="421" t="s">
        <v>855</v>
      </c>
      <c r="E161" s="422" t="s">
        <v>857</v>
      </c>
      <c r="F161" s="412">
        <v>7.1517999999999994E-4</v>
      </c>
      <c r="G161" s="128"/>
      <c r="H161" s="128"/>
      <c r="I161" s="7" t="s">
        <v>68</v>
      </c>
      <c r="J161" s="7" t="s">
        <v>420</v>
      </c>
      <c r="K161" s="405">
        <v>2022</v>
      </c>
      <c r="L161" s="406" t="s">
        <v>826</v>
      </c>
    </row>
    <row r="162" spans="1:12" x14ac:dyDescent="0.35">
      <c r="A162" s="7" t="s">
        <v>814</v>
      </c>
      <c r="B162" s="403" t="s">
        <v>858</v>
      </c>
      <c r="C162" s="419" t="s">
        <v>859</v>
      </c>
      <c r="D162" s="419" t="s">
        <v>858</v>
      </c>
      <c r="E162" s="420" t="s">
        <v>860</v>
      </c>
      <c r="F162" s="407">
        <f>1/1000000*711.658281660583</f>
        <v>7.1165828166058298E-4</v>
      </c>
      <c r="G162" s="128"/>
      <c r="H162" s="128"/>
      <c r="I162" s="7" t="s">
        <v>68</v>
      </c>
      <c r="J162" s="7" t="s">
        <v>420</v>
      </c>
      <c r="K162" s="405">
        <v>2023</v>
      </c>
      <c r="L162" s="406" t="s">
        <v>830</v>
      </c>
    </row>
    <row r="163" spans="1:12" x14ac:dyDescent="0.35">
      <c r="A163" s="7" t="s">
        <v>814</v>
      </c>
      <c r="B163" s="403" t="s">
        <v>861</v>
      </c>
      <c r="C163" s="419" t="s">
        <v>862</v>
      </c>
      <c r="D163" s="419" t="s">
        <v>861</v>
      </c>
      <c r="E163" s="420" t="s">
        <v>863</v>
      </c>
      <c r="F163" s="407">
        <f>1/1000000*711.658281660583</f>
        <v>7.1165828166058298E-4</v>
      </c>
      <c r="G163" s="128"/>
      <c r="H163" s="128"/>
      <c r="I163" s="7" t="s">
        <v>68</v>
      </c>
      <c r="J163" s="7" t="s">
        <v>420</v>
      </c>
      <c r="K163" s="405">
        <v>2024</v>
      </c>
      <c r="L163" s="406" t="s">
        <v>830</v>
      </c>
    </row>
    <row r="164" spans="1:12" x14ac:dyDescent="0.35">
      <c r="A164" s="7" t="s">
        <v>814</v>
      </c>
      <c r="B164" s="7" t="s">
        <v>864</v>
      </c>
      <c r="C164" s="421" t="s">
        <v>865</v>
      </c>
      <c r="D164" s="421" t="s">
        <v>864</v>
      </c>
      <c r="E164" s="422" t="s">
        <v>866</v>
      </c>
      <c r="F164" s="412">
        <v>0.54688999999999999</v>
      </c>
      <c r="G164" s="128"/>
      <c r="H164" s="128"/>
      <c r="I164" s="7" t="s">
        <v>72</v>
      </c>
      <c r="J164" s="7" t="s">
        <v>420</v>
      </c>
      <c r="K164" s="405">
        <v>2020</v>
      </c>
      <c r="L164" s="406" t="s">
        <v>818</v>
      </c>
    </row>
    <row r="165" spans="1:12" x14ac:dyDescent="0.35">
      <c r="A165" s="7" t="s">
        <v>814</v>
      </c>
      <c r="B165" s="7" t="s">
        <v>867</v>
      </c>
      <c r="C165" s="421" t="s">
        <v>868</v>
      </c>
      <c r="D165" s="421" t="s">
        <v>867</v>
      </c>
      <c r="E165" s="422" t="s">
        <v>869</v>
      </c>
      <c r="F165" s="412">
        <v>0.63658000000000003</v>
      </c>
      <c r="G165" s="128"/>
      <c r="H165" s="128"/>
      <c r="I165" s="7" t="s">
        <v>72</v>
      </c>
      <c r="J165" s="7" t="s">
        <v>420</v>
      </c>
      <c r="K165" s="405">
        <v>2021</v>
      </c>
      <c r="L165" s="406" t="s">
        <v>822</v>
      </c>
    </row>
    <row r="166" spans="1:12" x14ac:dyDescent="0.35">
      <c r="A166" s="7" t="s">
        <v>814</v>
      </c>
      <c r="B166" s="7" t="s">
        <v>870</v>
      </c>
      <c r="C166" s="421" t="s">
        <v>871</v>
      </c>
      <c r="D166" s="421" t="s">
        <v>870</v>
      </c>
      <c r="E166" s="422" t="s">
        <v>872</v>
      </c>
      <c r="F166" s="412">
        <v>0.71517999999999993</v>
      </c>
      <c r="G166" s="128"/>
      <c r="H166" s="128"/>
      <c r="I166" s="7" t="s">
        <v>72</v>
      </c>
      <c r="J166" s="7" t="s">
        <v>420</v>
      </c>
      <c r="K166" s="405">
        <v>2022</v>
      </c>
      <c r="L166" s="406" t="s">
        <v>826</v>
      </c>
    </row>
    <row r="167" spans="1:12" x14ac:dyDescent="0.35">
      <c r="A167" s="7" t="s">
        <v>814</v>
      </c>
      <c r="B167" s="403" t="s">
        <v>873</v>
      </c>
      <c r="C167" s="419" t="s">
        <v>874</v>
      </c>
      <c r="D167" s="419" t="s">
        <v>873</v>
      </c>
      <c r="E167" s="420" t="s">
        <v>875</v>
      </c>
      <c r="F167" s="407">
        <f>1/1000*711.658281660583</f>
        <v>0.71165828166058309</v>
      </c>
      <c r="G167" s="128"/>
      <c r="H167" s="128"/>
      <c r="I167" s="7" t="s">
        <v>72</v>
      </c>
      <c r="J167" s="7" t="s">
        <v>420</v>
      </c>
      <c r="K167" s="405">
        <v>2023</v>
      </c>
      <c r="L167" s="406" t="s">
        <v>830</v>
      </c>
    </row>
    <row r="168" spans="1:12" x14ac:dyDescent="0.35">
      <c r="A168" s="7" t="s">
        <v>814</v>
      </c>
      <c r="B168" s="403" t="s">
        <v>876</v>
      </c>
      <c r="C168" s="419" t="s">
        <v>877</v>
      </c>
      <c r="D168" s="419" t="s">
        <v>876</v>
      </c>
      <c r="E168" s="420" t="s">
        <v>878</v>
      </c>
      <c r="F168" s="407">
        <f>1/1000*711.658281660583</f>
        <v>0.71165828166058309</v>
      </c>
      <c r="G168" s="128"/>
      <c r="H168" s="128"/>
      <c r="I168" s="7" t="s">
        <v>72</v>
      </c>
      <c r="J168" s="7" t="s">
        <v>420</v>
      </c>
      <c r="K168" s="405">
        <v>2024</v>
      </c>
      <c r="L168" s="406" t="s">
        <v>830</v>
      </c>
    </row>
    <row r="169" spans="1:12" x14ac:dyDescent="0.35">
      <c r="A169" s="7" t="s">
        <v>814</v>
      </c>
      <c r="B169" s="7" t="s">
        <v>879</v>
      </c>
      <c r="C169" s="421" t="s">
        <v>879</v>
      </c>
      <c r="D169" s="421" t="s">
        <v>879</v>
      </c>
      <c r="E169" s="422" t="s">
        <v>880</v>
      </c>
      <c r="F169" s="412">
        <v>0.1170856104</v>
      </c>
      <c r="G169" s="128"/>
      <c r="H169" s="128"/>
      <c r="I169" s="7" t="s">
        <v>176</v>
      </c>
      <c r="J169" s="7" t="s">
        <v>420</v>
      </c>
      <c r="K169" s="405">
        <v>2020</v>
      </c>
      <c r="L169" s="406" t="s">
        <v>818</v>
      </c>
    </row>
    <row r="170" spans="1:12" x14ac:dyDescent="0.35">
      <c r="A170" s="7" t="s">
        <v>814</v>
      </c>
      <c r="B170" s="7" t="s">
        <v>881</v>
      </c>
      <c r="C170" s="421" t="s">
        <v>881</v>
      </c>
      <c r="D170" s="421" t="s">
        <v>881</v>
      </c>
      <c r="E170" s="422" t="s">
        <v>882</v>
      </c>
      <c r="F170" s="412">
        <v>8.4047646599999984E-2</v>
      </c>
      <c r="G170" s="128"/>
      <c r="H170" s="128"/>
      <c r="I170" s="7" t="s">
        <v>176</v>
      </c>
      <c r="J170" s="7" t="s">
        <v>420</v>
      </c>
      <c r="K170" s="405">
        <v>2021</v>
      </c>
      <c r="L170" s="406" t="s">
        <v>822</v>
      </c>
    </row>
    <row r="171" spans="1:12" x14ac:dyDescent="0.35">
      <c r="A171" s="7" t="s">
        <v>814</v>
      </c>
      <c r="B171" s="7" t="s">
        <v>883</v>
      </c>
      <c r="C171" s="421" t="s">
        <v>883</v>
      </c>
      <c r="D171" s="421" t="s">
        <v>883</v>
      </c>
      <c r="E171" s="422" t="s">
        <v>884</v>
      </c>
      <c r="F171" s="412">
        <v>0.14186388888900237</v>
      </c>
      <c r="G171" s="128"/>
      <c r="H171" s="128"/>
      <c r="I171" s="7" t="s">
        <v>176</v>
      </c>
      <c r="J171" s="7" t="s">
        <v>420</v>
      </c>
      <c r="K171" s="405">
        <v>2022</v>
      </c>
      <c r="L171" s="406" t="s">
        <v>826</v>
      </c>
    </row>
    <row r="172" spans="1:12" x14ac:dyDescent="0.35">
      <c r="A172" s="7" t="s">
        <v>814</v>
      </c>
      <c r="B172" s="403" t="s">
        <v>885</v>
      </c>
      <c r="C172" s="419" t="s">
        <v>885</v>
      </c>
      <c r="D172" s="419" t="s">
        <v>885</v>
      </c>
      <c r="E172" s="420" t="s">
        <v>886</v>
      </c>
      <c r="F172" s="407">
        <f>1/1000000*535.36545377834*277.78</f>
        <v>0.14871381575054726</v>
      </c>
      <c r="G172" s="128"/>
      <c r="H172" s="128"/>
      <c r="I172" s="7" t="s">
        <v>176</v>
      </c>
      <c r="J172" s="7" t="s">
        <v>420</v>
      </c>
      <c r="K172" s="405">
        <v>2023</v>
      </c>
      <c r="L172" s="406" t="s">
        <v>830</v>
      </c>
    </row>
    <row r="173" spans="1:12" x14ac:dyDescent="0.35">
      <c r="A173" s="7" t="s">
        <v>814</v>
      </c>
      <c r="B173" s="403" t="s">
        <v>887</v>
      </c>
      <c r="C173" s="419" t="s">
        <v>887</v>
      </c>
      <c r="D173" s="419" t="s">
        <v>887</v>
      </c>
      <c r="E173" s="420" t="s">
        <v>888</v>
      </c>
      <c r="F173" s="407">
        <f>1/1000000*535.36545377834*277.78</f>
        <v>0.14871381575054726</v>
      </c>
      <c r="G173" s="128"/>
      <c r="H173" s="128"/>
      <c r="I173" s="7" t="s">
        <v>176</v>
      </c>
      <c r="J173" s="7" t="s">
        <v>420</v>
      </c>
      <c r="K173" s="405">
        <v>2024</v>
      </c>
      <c r="L173" s="406" t="s">
        <v>830</v>
      </c>
    </row>
    <row r="174" spans="1:12" x14ac:dyDescent="0.35">
      <c r="A174" s="7" t="s">
        <v>814</v>
      </c>
      <c r="B174" s="7" t="s">
        <v>889</v>
      </c>
      <c r="C174" s="421" t="s">
        <v>889</v>
      </c>
      <c r="D174" s="421" t="s">
        <v>889</v>
      </c>
      <c r="E174" s="422" t="s">
        <v>890</v>
      </c>
      <c r="F174" s="412">
        <v>421.52</v>
      </c>
      <c r="G174" s="128"/>
      <c r="H174" s="128"/>
      <c r="I174" s="7" t="s">
        <v>75</v>
      </c>
      <c r="J174" s="7" t="s">
        <v>420</v>
      </c>
      <c r="K174" s="405">
        <v>2020</v>
      </c>
      <c r="L174" s="406" t="s">
        <v>818</v>
      </c>
    </row>
    <row r="175" spans="1:12" x14ac:dyDescent="0.35">
      <c r="A175" s="7" t="s">
        <v>814</v>
      </c>
      <c r="B175" s="7" t="s">
        <v>891</v>
      </c>
      <c r="C175" s="421" t="s">
        <v>891</v>
      </c>
      <c r="D175" s="421" t="s">
        <v>891</v>
      </c>
      <c r="E175" s="422" t="s">
        <v>892</v>
      </c>
      <c r="F175" s="412">
        <v>302.58</v>
      </c>
      <c r="G175" s="128"/>
      <c r="H175" s="128"/>
      <c r="I175" s="7" t="s">
        <v>75</v>
      </c>
      <c r="J175" s="7" t="s">
        <v>420</v>
      </c>
      <c r="K175" s="405">
        <v>2021</v>
      </c>
      <c r="L175" s="406" t="s">
        <v>822</v>
      </c>
    </row>
    <row r="176" spans="1:12" x14ac:dyDescent="0.35">
      <c r="A176" s="7" t="s">
        <v>814</v>
      </c>
      <c r="B176" s="7" t="s">
        <v>893</v>
      </c>
      <c r="C176" s="421" t="s">
        <v>893</v>
      </c>
      <c r="D176" s="421" t="s">
        <v>893</v>
      </c>
      <c r="E176" s="422" t="s">
        <v>894</v>
      </c>
      <c r="F176" s="412">
        <v>510.71</v>
      </c>
      <c r="G176" s="128"/>
      <c r="H176" s="128"/>
      <c r="I176" s="7" t="s">
        <v>75</v>
      </c>
      <c r="J176" s="7" t="s">
        <v>420</v>
      </c>
      <c r="K176" s="405">
        <v>2022</v>
      </c>
      <c r="L176" s="406" t="s">
        <v>826</v>
      </c>
    </row>
    <row r="177" spans="1:12" x14ac:dyDescent="0.35">
      <c r="A177" s="7" t="s">
        <v>814</v>
      </c>
      <c r="B177" s="403" t="s">
        <v>895</v>
      </c>
      <c r="C177" s="419" t="s">
        <v>895</v>
      </c>
      <c r="D177" s="419" t="s">
        <v>895</v>
      </c>
      <c r="E177" s="420" t="s">
        <v>896</v>
      </c>
      <c r="F177" s="407">
        <v>535.36545377834045</v>
      </c>
      <c r="G177" s="128"/>
      <c r="H177" s="128"/>
      <c r="I177" s="7" t="s">
        <v>75</v>
      </c>
      <c r="J177" s="7" t="s">
        <v>420</v>
      </c>
      <c r="K177" s="405">
        <v>2023</v>
      </c>
      <c r="L177" s="406" t="s">
        <v>830</v>
      </c>
    </row>
    <row r="178" spans="1:12" x14ac:dyDescent="0.35">
      <c r="A178" s="7" t="s">
        <v>814</v>
      </c>
      <c r="B178" s="403" t="s">
        <v>897</v>
      </c>
      <c r="C178" s="419" t="s">
        <v>897</v>
      </c>
      <c r="D178" s="419" t="s">
        <v>897</v>
      </c>
      <c r="E178" s="420" t="s">
        <v>898</v>
      </c>
      <c r="F178" s="407">
        <v>535.36545377834045</v>
      </c>
      <c r="G178" s="128"/>
      <c r="H178" s="128"/>
      <c r="I178" s="7" t="s">
        <v>75</v>
      </c>
      <c r="J178" s="7" t="s">
        <v>420</v>
      </c>
      <c r="K178" s="405">
        <v>2024</v>
      </c>
      <c r="L178" s="406" t="s">
        <v>830</v>
      </c>
    </row>
    <row r="179" spans="1:12" x14ac:dyDescent="0.35">
      <c r="A179" s="7" t="s">
        <v>814</v>
      </c>
      <c r="B179" s="7" t="s">
        <v>899</v>
      </c>
      <c r="C179" s="421" t="s">
        <v>899</v>
      </c>
      <c r="D179" s="421" t="s">
        <v>899</v>
      </c>
      <c r="E179" s="422" t="s">
        <v>900</v>
      </c>
      <c r="F179" s="412">
        <v>4.2151999999999999E-4</v>
      </c>
      <c r="G179" s="128"/>
      <c r="H179" s="128"/>
      <c r="I179" s="7" t="s">
        <v>68</v>
      </c>
      <c r="J179" s="7" t="s">
        <v>420</v>
      </c>
      <c r="K179" s="405">
        <v>2020</v>
      </c>
      <c r="L179" s="406" t="s">
        <v>818</v>
      </c>
    </row>
    <row r="180" spans="1:12" x14ac:dyDescent="0.35">
      <c r="A180" s="7" t="s">
        <v>814</v>
      </c>
      <c r="B180" s="7" t="s">
        <v>901</v>
      </c>
      <c r="C180" s="421" t="s">
        <v>901</v>
      </c>
      <c r="D180" s="421" t="s">
        <v>901</v>
      </c>
      <c r="E180" s="422" t="s">
        <v>902</v>
      </c>
      <c r="F180" s="412">
        <v>3.0257999999999994E-4</v>
      </c>
      <c r="G180" s="128"/>
      <c r="H180" s="128"/>
      <c r="I180" s="7" t="s">
        <v>68</v>
      </c>
      <c r="J180" s="7" t="s">
        <v>420</v>
      </c>
      <c r="K180" s="405">
        <v>2021</v>
      </c>
      <c r="L180" s="406" t="s">
        <v>822</v>
      </c>
    </row>
    <row r="181" spans="1:12" x14ac:dyDescent="0.35">
      <c r="A181" s="7" t="s">
        <v>814</v>
      </c>
      <c r="B181" s="7" t="s">
        <v>903</v>
      </c>
      <c r="C181" s="421" t="s">
        <v>903</v>
      </c>
      <c r="D181" s="421" t="s">
        <v>903</v>
      </c>
      <c r="E181" s="422" t="s">
        <v>904</v>
      </c>
      <c r="F181" s="412">
        <v>5.1071000000000005E-4</v>
      </c>
      <c r="G181" s="128"/>
      <c r="H181" s="128"/>
      <c r="I181" s="7" t="s">
        <v>68</v>
      </c>
      <c r="J181" s="7" t="s">
        <v>420</v>
      </c>
      <c r="K181" s="405">
        <v>2022</v>
      </c>
      <c r="L181" s="406" t="s">
        <v>826</v>
      </c>
    </row>
    <row r="182" spans="1:12" x14ac:dyDescent="0.35">
      <c r="A182" s="7" t="s">
        <v>814</v>
      </c>
      <c r="B182" s="403" t="s">
        <v>905</v>
      </c>
      <c r="C182" s="419" t="s">
        <v>905</v>
      </c>
      <c r="D182" s="419" t="s">
        <v>905</v>
      </c>
      <c r="E182" s="420" t="s">
        <v>906</v>
      </c>
      <c r="F182" s="407">
        <f>1/1000000*535.36545377834</f>
        <v>5.3536545377833999E-4</v>
      </c>
      <c r="G182" s="128"/>
      <c r="H182" s="128"/>
      <c r="I182" s="7" t="s">
        <v>68</v>
      </c>
      <c r="J182" s="7" t="s">
        <v>420</v>
      </c>
      <c r="K182" s="405">
        <v>2023</v>
      </c>
      <c r="L182" s="406" t="s">
        <v>830</v>
      </c>
    </row>
    <row r="183" spans="1:12" x14ac:dyDescent="0.35">
      <c r="A183" s="7" t="s">
        <v>814</v>
      </c>
      <c r="B183" s="403" t="s">
        <v>907</v>
      </c>
      <c r="C183" s="419" t="s">
        <v>907</v>
      </c>
      <c r="D183" s="419" t="s">
        <v>907</v>
      </c>
      <c r="E183" s="420" t="s">
        <v>908</v>
      </c>
      <c r="F183" s="407">
        <f>1/1000000*535.36545377834</f>
        <v>5.3536545377833999E-4</v>
      </c>
      <c r="G183" s="128"/>
      <c r="H183" s="128"/>
      <c r="I183" s="7" t="s">
        <v>68</v>
      </c>
      <c r="J183" s="7" t="s">
        <v>420</v>
      </c>
      <c r="K183" s="405">
        <v>2023</v>
      </c>
      <c r="L183" s="406" t="s">
        <v>830</v>
      </c>
    </row>
    <row r="184" spans="1:12" x14ac:dyDescent="0.35">
      <c r="A184" s="7" t="s">
        <v>814</v>
      </c>
      <c r="B184" s="7" t="s">
        <v>909</v>
      </c>
      <c r="C184" s="421" t="s">
        <v>909</v>
      </c>
      <c r="D184" s="421" t="s">
        <v>909</v>
      </c>
      <c r="E184" s="422" t="s">
        <v>910</v>
      </c>
      <c r="F184" s="412">
        <v>0.42152000000000001</v>
      </c>
      <c r="G184" s="128"/>
      <c r="H184" s="128"/>
      <c r="I184" s="7" t="s">
        <v>72</v>
      </c>
      <c r="J184" s="7" t="s">
        <v>420</v>
      </c>
      <c r="K184" s="405">
        <v>2020</v>
      </c>
      <c r="L184" s="406" t="s">
        <v>818</v>
      </c>
    </row>
    <row r="185" spans="1:12" x14ac:dyDescent="0.35">
      <c r="A185" s="7" t="s">
        <v>814</v>
      </c>
      <c r="B185" s="7" t="s">
        <v>911</v>
      </c>
      <c r="C185" s="421" t="s">
        <v>911</v>
      </c>
      <c r="D185" s="421" t="s">
        <v>911</v>
      </c>
      <c r="E185" s="422" t="s">
        <v>912</v>
      </c>
      <c r="F185" s="412">
        <v>0.30257999999999996</v>
      </c>
      <c r="G185" s="128"/>
      <c r="H185" s="128"/>
      <c r="I185" s="7" t="s">
        <v>72</v>
      </c>
      <c r="J185" s="7" t="s">
        <v>420</v>
      </c>
      <c r="K185" s="405">
        <v>2021</v>
      </c>
      <c r="L185" s="406" t="s">
        <v>822</v>
      </c>
    </row>
    <row r="186" spans="1:12" x14ac:dyDescent="0.35">
      <c r="A186" s="7" t="s">
        <v>814</v>
      </c>
      <c r="B186" s="7" t="s">
        <v>913</v>
      </c>
      <c r="C186" s="421" t="s">
        <v>913</v>
      </c>
      <c r="D186" s="421" t="s">
        <v>913</v>
      </c>
      <c r="E186" s="422" t="s">
        <v>914</v>
      </c>
      <c r="F186" s="412">
        <v>0.51071</v>
      </c>
      <c r="G186" s="128"/>
      <c r="H186" s="128"/>
      <c r="I186" s="7" t="s">
        <v>72</v>
      </c>
      <c r="J186" s="7" t="s">
        <v>420</v>
      </c>
      <c r="K186" s="405">
        <v>2022</v>
      </c>
      <c r="L186" s="406" t="s">
        <v>826</v>
      </c>
    </row>
    <row r="187" spans="1:12" x14ac:dyDescent="0.35">
      <c r="A187" s="7" t="s">
        <v>814</v>
      </c>
      <c r="B187" s="403" t="s">
        <v>915</v>
      </c>
      <c r="C187" s="419" t="s">
        <v>915</v>
      </c>
      <c r="D187" s="419" t="s">
        <v>915</v>
      </c>
      <c r="E187" s="420" t="s">
        <v>916</v>
      </c>
      <c r="F187" s="407">
        <f>1/1000*535.36545377834</f>
        <v>0.53536545377833999</v>
      </c>
      <c r="G187" s="128"/>
      <c r="H187" s="128"/>
      <c r="I187" s="7" t="s">
        <v>72</v>
      </c>
      <c r="J187" s="7" t="s">
        <v>420</v>
      </c>
      <c r="K187" s="405">
        <v>2023</v>
      </c>
      <c r="L187" s="406" t="s">
        <v>830</v>
      </c>
    </row>
    <row r="188" spans="1:12" x14ac:dyDescent="0.35">
      <c r="A188" s="7" t="s">
        <v>814</v>
      </c>
      <c r="B188" s="403" t="s">
        <v>917</v>
      </c>
      <c r="C188" s="419" t="s">
        <v>917</v>
      </c>
      <c r="D188" s="419" t="s">
        <v>917</v>
      </c>
      <c r="E188" s="420" t="s">
        <v>918</v>
      </c>
      <c r="F188" s="407">
        <f>1/1000*535.36545377834</f>
        <v>0.53536545377833999</v>
      </c>
      <c r="G188" s="128"/>
      <c r="H188" s="128"/>
      <c r="I188" s="7" t="s">
        <v>72</v>
      </c>
      <c r="J188" s="7" t="s">
        <v>420</v>
      </c>
      <c r="K188" s="405">
        <v>2024</v>
      </c>
      <c r="L188" s="406" t="s">
        <v>830</v>
      </c>
    </row>
    <row r="189" spans="1:12" x14ac:dyDescent="0.35">
      <c r="A189" s="7" t="s">
        <v>814</v>
      </c>
      <c r="B189" s="7" t="s">
        <v>919</v>
      </c>
      <c r="C189" s="421" t="s">
        <v>919</v>
      </c>
      <c r="D189" s="421" t="s">
        <v>919</v>
      </c>
      <c r="E189" s="422" t="s">
        <v>920</v>
      </c>
      <c r="F189" s="412">
        <v>9.4494576299999994E-2</v>
      </c>
      <c r="G189" s="128"/>
      <c r="H189" s="128"/>
      <c r="I189" s="7" t="s">
        <v>176</v>
      </c>
      <c r="J189" s="7" t="s">
        <v>420</v>
      </c>
      <c r="K189" s="405">
        <v>2020</v>
      </c>
      <c r="L189" s="406" t="s">
        <v>818</v>
      </c>
    </row>
    <row r="190" spans="1:12" x14ac:dyDescent="0.35">
      <c r="A190" s="7" t="s">
        <v>814</v>
      </c>
      <c r="B190" s="7" t="s">
        <v>921</v>
      </c>
      <c r="C190" s="421" t="s">
        <v>921</v>
      </c>
      <c r="D190" s="421" t="s">
        <v>921</v>
      </c>
      <c r="E190" s="422" t="s">
        <v>922</v>
      </c>
      <c r="F190" s="412">
        <v>0.106802565</v>
      </c>
      <c r="G190" s="128"/>
      <c r="H190" s="128"/>
      <c r="I190" s="7" t="s">
        <v>176</v>
      </c>
      <c r="J190" s="7" t="s">
        <v>420</v>
      </c>
      <c r="K190" s="405">
        <v>2021</v>
      </c>
      <c r="L190" s="406" t="s">
        <v>822</v>
      </c>
    </row>
    <row r="191" spans="1:12" x14ac:dyDescent="0.35">
      <c r="A191" s="7" t="s">
        <v>814</v>
      </c>
      <c r="B191" s="7" t="s">
        <v>923</v>
      </c>
      <c r="C191" s="421" t="s">
        <v>923</v>
      </c>
      <c r="D191" s="421" t="s">
        <v>923</v>
      </c>
      <c r="E191" s="422" t="s">
        <v>924</v>
      </c>
      <c r="F191" s="412">
        <v>0.12954081719999999</v>
      </c>
      <c r="G191" s="128"/>
      <c r="H191" s="128"/>
      <c r="I191" s="7" t="s">
        <v>176</v>
      </c>
      <c r="J191" s="7" t="s">
        <v>420</v>
      </c>
      <c r="K191" s="405">
        <v>2022</v>
      </c>
      <c r="L191" s="406" t="s">
        <v>826</v>
      </c>
    </row>
    <row r="192" spans="1:12" x14ac:dyDescent="0.35">
      <c r="A192" s="7" t="s">
        <v>814</v>
      </c>
      <c r="B192" s="403" t="s">
        <v>925</v>
      </c>
      <c r="C192" s="419" t="s">
        <v>925</v>
      </c>
      <c r="D192" s="419" t="s">
        <v>925</v>
      </c>
      <c r="E192" s="420" t="s">
        <v>926</v>
      </c>
      <c r="F192" s="407">
        <f>1/1000000*583.154919744521*277.78</f>
        <v>0.161988773606633</v>
      </c>
      <c r="G192" s="128"/>
      <c r="H192" s="128"/>
      <c r="I192" s="7" t="s">
        <v>176</v>
      </c>
      <c r="J192" s="7" t="s">
        <v>420</v>
      </c>
      <c r="K192" s="405">
        <v>2023</v>
      </c>
      <c r="L192" s="406" t="s">
        <v>830</v>
      </c>
    </row>
    <row r="193" spans="1:12" x14ac:dyDescent="0.35">
      <c r="A193" s="7" t="s">
        <v>814</v>
      </c>
      <c r="B193" s="403" t="s">
        <v>927</v>
      </c>
      <c r="C193" s="419" t="s">
        <v>927</v>
      </c>
      <c r="D193" s="419" t="s">
        <v>927</v>
      </c>
      <c r="E193" s="420" t="s">
        <v>928</v>
      </c>
      <c r="F193" s="407">
        <f>1/1000000*583.154919744521*277.78</f>
        <v>0.161988773606633</v>
      </c>
      <c r="G193" s="128"/>
      <c r="H193" s="128"/>
      <c r="I193" s="7" t="s">
        <v>176</v>
      </c>
      <c r="J193" s="7" t="s">
        <v>420</v>
      </c>
      <c r="K193" s="405">
        <v>2024</v>
      </c>
      <c r="L193" s="406" t="s">
        <v>830</v>
      </c>
    </row>
    <row r="194" spans="1:12" x14ac:dyDescent="0.35">
      <c r="A194" s="7" t="s">
        <v>814</v>
      </c>
      <c r="B194" s="7" t="s">
        <v>929</v>
      </c>
      <c r="C194" s="421" t="s">
        <v>929</v>
      </c>
      <c r="D194" s="421" t="s">
        <v>929</v>
      </c>
      <c r="E194" s="422" t="s">
        <v>930</v>
      </c>
      <c r="F194" s="412">
        <v>340.19</v>
      </c>
      <c r="G194" s="128"/>
      <c r="H194" s="128"/>
      <c r="I194" s="7" t="s">
        <v>75</v>
      </c>
      <c r="J194" s="7" t="s">
        <v>420</v>
      </c>
      <c r="K194" s="405">
        <v>2020</v>
      </c>
      <c r="L194" s="406" t="s">
        <v>818</v>
      </c>
    </row>
    <row r="195" spans="1:12" x14ac:dyDescent="0.35">
      <c r="A195" s="7" t="s">
        <v>814</v>
      </c>
      <c r="B195" s="7" t="s">
        <v>931</v>
      </c>
      <c r="C195" s="421" t="s">
        <v>931</v>
      </c>
      <c r="D195" s="421" t="s">
        <v>931</v>
      </c>
      <c r="E195" s="422" t="s">
        <v>932</v>
      </c>
      <c r="F195" s="412">
        <v>384.5</v>
      </c>
      <c r="G195" s="128"/>
      <c r="H195" s="128"/>
      <c r="I195" s="7" t="s">
        <v>75</v>
      </c>
      <c r="J195" s="7" t="s">
        <v>420</v>
      </c>
      <c r="K195" s="405">
        <v>2021</v>
      </c>
      <c r="L195" s="406" t="s">
        <v>822</v>
      </c>
    </row>
    <row r="196" spans="1:12" x14ac:dyDescent="0.35">
      <c r="A196" s="7" t="s">
        <v>814</v>
      </c>
      <c r="B196" s="7" t="s">
        <v>933</v>
      </c>
      <c r="C196" s="421" t="s">
        <v>933</v>
      </c>
      <c r="D196" s="421" t="s">
        <v>933</v>
      </c>
      <c r="E196" s="422" t="s">
        <v>934</v>
      </c>
      <c r="F196" s="412">
        <v>466.36</v>
      </c>
      <c r="G196" s="128"/>
      <c r="H196" s="128"/>
      <c r="I196" s="7" t="s">
        <v>75</v>
      </c>
      <c r="J196" s="7" t="s">
        <v>420</v>
      </c>
      <c r="K196" s="405">
        <v>2022</v>
      </c>
      <c r="L196" s="406" t="s">
        <v>826</v>
      </c>
    </row>
    <row r="197" spans="1:12" x14ac:dyDescent="0.35">
      <c r="A197" s="7" t="s">
        <v>814</v>
      </c>
      <c r="B197" s="403" t="s">
        <v>935</v>
      </c>
      <c r="C197" s="419" t="s">
        <v>935</v>
      </c>
      <c r="D197" s="419" t="s">
        <v>935</v>
      </c>
      <c r="E197" s="420" t="s">
        <v>936</v>
      </c>
      <c r="F197" s="407">
        <v>583.15491974452073</v>
      </c>
      <c r="G197" s="128"/>
      <c r="H197" s="128"/>
      <c r="I197" s="7" t="s">
        <v>75</v>
      </c>
      <c r="J197" s="7" t="s">
        <v>420</v>
      </c>
      <c r="K197" s="405">
        <v>2023</v>
      </c>
      <c r="L197" s="406" t="s">
        <v>830</v>
      </c>
    </row>
    <row r="198" spans="1:12" x14ac:dyDescent="0.35">
      <c r="A198" s="7" t="s">
        <v>814</v>
      </c>
      <c r="B198" s="403" t="s">
        <v>937</v>
      </c>
      <c r="C198" s="419" t="s">
        <v>937</v>
      </c>
      <c r="D198" s="419" t="s">
        <v>937</v>
      </c>
      <c r="E198" s="420" t="s">
        <v>938</v>
      </c>
      <c r="F198" s="407">
        <v>583.15491974452073</v>
      </c>
      <c r="G198" s="128"/>
      <c r="H198" s="128"/>
      <c r="I198" s="7" t="s">
        <v>75</v>
      </c>
      <c r="J198" s="7" t="s">
        <v>420</v>
      </c>
      <c r="K198" s="405">
        <v>2024</v>
      </c>
      <c r="L198" s="406" t="s">
        <v>830</v>
      </c>
    </row>
    <row r="199" spans="1:12" x14ac:dyDescent="0.35">
      <c r="A199" s="7" t="s">
        <v>814</v>
      </c>
      <c r="B199" s="7" t="s">
        <v>939</v>
      </c>
      <c r="C199" s="421" t="s">
        <v>939</v>
      </c>
      <c r="D199" s="421" t="s">
        <v>939</v>
      </c>
      <c r="E199" s="422" t="s">
        <v>940</v>
      </c>
      <c r="F199" s="412">
        <v>3.4018999999999998E-4</v>
      </c>
      <c r="G199" s="128"/>
      <c r="H199" s="128"/>
      <c r="I199" s="7" t="s">
        <v>68</v>
      </c>
      <c r="J199" s="7" t="s">
        <v>420</v>
      </c>
      <c r="K199" s="405">
        <v>2020</v>
      </c>
      <c r="L199" s="406" t="s">
        <v>818</v>
      </c>
    </row>
    <row r="200" spans="1:12" x14ac:dyDescent="0.35">
      <c r="A200" s="7" t="s">
        <v>814</v>
      </c>
      <c r="B200" s="7" t="s">
        <v>941</v>
      </c>
      <c r="C200" s="421" t="s">
        <v>941</v>
      </c>
      <c r="D200" s="421" t="s">
        <v>941</v>
      </c>
      <c r="E200" s="422" t="s">
        <v>942</v>
      </c>
      <c r="F200" s="412">
        <v>3.8450000000000002E-4</v>
      </c>
      <c r="G200" s="128"/>
      <c r="H200" s="128"/>
      <c r="I200" s="7" t="s">
        <v>68</v>
      </c>
      <c r="J200" s="7" t="s">
        <v>420</v>
      </c>
      <c r="K200" s="405">
        <v>2021</v>
      </c>
      <c r="L200" s="406" t="s">
        <v>822</v>
      </c>
    </row>
    <row r="201" spans="1:12" x14ac:dyDescent="0.35">
      <c r="A201" s="7" t="s">
        <v>814</v>
      </c>
      <c r="B201" s="7" t="s">
        <v>943</v>
      </c>
      <c r="C201" s="421" t="s">
        <v>943</v>
      </c>
      <c r="D201" s="421" t="s">
        <v>943</v>
      </c>
      <c r="E201" s="422" t="s">
        <v>944</v>
      </c>
      <c r="F201" s="412">
        <v>4.6635999999999997E-4</v>
      </c>
      <c r="G201" s="128"/>
      <c r="H201" s="128"/>
      <c r="I201" s="7" t="s">
        <v>68</v>
      </c>
      <c r="J201" s="7" t="s">
        <v>420</v>
      </c>
      <c r="K201" s="405">
        <v>2022</v>
      </c>
      <c r="L201" s="406" t="s">
        <v>826</v>
      </c>
    </row>
    <row r="202" spans="1:12" x14ac:dyDescent="0.35">
      <c r="A202" s="7" t="s">
        <v>814</v>
      </c>
      <c r="B202" s="403" t="s">
        <v>945</v>
      </c>
      <c r="C202" s="419" t="s">
        <v>945</v>
      </c>
      <c r="D202" s="419" t="s">
        <v>945</v>
      </c>
      <c r="E202" s="420" t="s">
        <v>946</v>
      </c>
      <c r="F202" s="407">
        <f>1/1000000*583.154919744521</f>
        <v>5.8315491974452089E-4</v>
      </c>
      <c r="G202" s="128"/>
      <c r="H202" s="128"/>
      <c r="I202" s="7" t="s">
        <v>68</v>
      </c>
      <c r="J202" s="7" t="s">
        <v>420</v>
      </c>
      <c r="K202" s="405">
        <v>2023</v>
      </c>
      <c r="L202" s="406" t="s">
        <v>830</v>
      </c>
    </row>
    <row r="203" spans="1:12" x14ac:dyDescent="0.35">
      <c r="A203" s="7" t="s">
        <v>814</v>
      </c>
      <c r="B203" s="403" t="s">
        <v>947</v>
      </c>
      <c r="C203" s="419" t="s">
        <v>947</v>
      </c>
      <c r="D203" s="419" t="s">
        <v>947</v>
      </c>
      <c r="E203" s="420" t="s">
        <v>948</v>
      </c>
      <c r="F203" s="407">
        <f>1/1000000*583.154919744521</f>
        <v>5.8315491974452089E-4</v>
      </c>
      <c r="G203" s="128"/>
      <c r="H203" s="128"/>
      <c r="I203" s="7" t="s">
        <v>68</v>
      </c>
      <c r="J203" s="7" t="s">
        <v>420</v>
      </c>
      <c r="K203" s="405">
        <v>2024</v>
      </c>
      <c r="L203" s="406" t="s">
        <v>830</v>
      </c>
    </row>
    <row r="204" spans="1:12" x14ac:dyDescent="0.35">
      <c r="A204" s="7" t="s">
        <v>814</v>
      </c>
      <c r="B204" s="7" t="s">
        <v>949</v>
      </c>
      <c r="C204" s="421" t="s">
        <v>949</v>
      </c>
      <c r="D204" s="421" t="s">
        <v>949</v>
      </c>
      <c r="E204" s="422" t="s">
        <v>950</v>
      </c>
      <c r="F204" s="412">
        <v>0.34018999999999999</v>
      </c>
      <c r="G204" s="128"/>
      <c r="H204" s="128"/>
      <c r="I204" s="7" t="s">
        <v>72</v>
      </c>
      <c r="J204" s="7" t="s">
        <v>420</v>
      </c>
      <c r="K204" s="405">
        <v>2020</v>
      </c>
      <c r="L204" s="406" t="s">
        <v>818</v>
      </c>
    </row>
    <row r="205" spans="1:12" x14ac:dyDescent="0.35">
      <c r="A205" s="7" t="s">
        <v>814</v>
      </c>
      <c r="B205" s="7" t="s">
        <v>951</v>
      </c>
      <c r="C205" s="421" t="s">
        <v>951</v>
      </c>
      <c r="D205" s="421" t="s">
        <v>951</v>
      </c>
      <c r="E205" s="422" t="s">
        <v>952</v>
      </c>
      <c r="F205" s="412">
        <v>0.38450000000000001</v>
      </c>
      <c r="G205" s="128"/>
      <c r="H205" s="128"/>
      <c r="I205" s="7" t="s">
        <v>72</v>
      </c>
      <c r="J205" s="7" t="s">
        <v>420</v>
      </c>
      <c r="K205" s="405">
        <v>2021</v>
      </c>
      <c r="L205" s="406" t="s">
        <v>953</v>
      </c>
    </row>
    <row r="206" spans="1:12" x14ac:dyDescent="0.35">
      <c r="A206" s="7" t="s">
        <v>814</v>
      </c>
      <c r="B206" s="7" t="s">
        <v>954</v>
      </c>
      <c r="C206" s="421" t="s">
        <v>954</v>
      </c>
      <c r="D206" s="421" t="s">
        <v>954</v>
      </c>
      <c r="E206" s="422" t="s">
        <v>955</v>
      </c>
      <c r="F206" s="412">
        <v>0.46636</v>
      </c>
      <c r="G206" s="128"/>
      <c r="H206" s="128"/>
      <c r="I206" s="7" t="s">
        <v>72</v>
      </c>
      <c r="J206" s="7" t="s">
        <v>420</v>
      </c>
      <c r="K206" s="405">
        <v>2022</v>
      </c>
      <c r="L206" s="406" t="s">
        <v>822</v>
      </c>
    </row>
    <row r="207" spans="1:12" x14ac:dyDescent="0.35">
      <c r="A207" s="7" t="s">
        <v>814</v>
      </c>
      <c r="B207" s="403" t="s">
        <v>956</v>
      </c>
      <c r="C207" s="419" t="s">
        <v>956</v>
      </c>
      <c r="D207" s="419" t="s">
        <v>956</v>
      </c>
      <c r="E207" s="420" t="s">
        <v>957</v>
      </c>
      <c r="F207" s="407">
        <f>1/1000*583.154919744521</f>
        <v>0.58315491974452094</v>
      </c>
      <c r="G207" s="128"/>
      <c r="H207" s="128"/>
      <c r="I207" s="7" t="s">
        <v>72</v>
      </c>
      <c r="J207" s="7" t="s">
        <v>420</v>
      </c>
      <c r="K207" s="405">
        <v>2023</v>
      </c>
      <c r="L207" s="406" t="s">
        <v>826</v>
      </c>
    </row>
    <row r="208" spans="1:12" x14ac:dyDescent="0.35">
      <c r="A208" s="7" t="s">
        <v>814</v>
      </c>
      <c r="B208" s="403" t="s">
        <v>958</v>
      </c>
      <c r="C208" s="419" t="s">
        <v>958</v>
      </c>
      <c r="D208" s="419" t="s">
        <v>958</v>
      </c>
      <c r="E208" s="420" t="s">
        <v>959</v>
      </c>
      <c r="F208" s="407">
        <f>1/1000*583.154919744521</f>
        <v>0.58315491974452094</v>
      </c>
      <c r="G208" s="128"/>
      <c r="H208" s="128"/>
      <c r="I208" s="7" t="s">
        <v>72</v>
      </c>
      <c r="J208" s="7" t="s">
        <v>420</v>
      </c>
      <c r="K208" s="405">
        <v>2024</v>
      </c>
      <c r="L208" s="406" t="s">
        <v>830</v>
      </c>
    </row>
    <row r="209" spans="1:12" x14ac:dyDescent="0.35">
      <c r="A209" s="7" t="s">
        <v>960</v>
      </c>
      <c r="B209" s="403" t="s">
        <v>961</v>
      </c>
      <c r="C209" s="419" t="s">
        <v>962</v>
      </c>
      <c r="D209" s="419" t="s">
        <v>961</v>
      </c>
      <c r="E209" s="420" t="s">
        <v>963</v>
      </c>
      <c r="F209" s="404">
        <f>G209*28</f>
        <v>4.4506000000000006</v>
      </c>
      <c r="G209" s="320">
        <v>0.15895000000000001</v>
      </c>
      <c r="H209" s="320"/>
      <c r="I209" s="7" t="s">
        <v>487</v>
      </c>
      <c r="J209" s="7" t="s">
        <v>420</v>
      </c>
      <c r="K209" s="405">
        <v>2022</v>
      </c>
      <c r="L209" s="406" t="s">
        <v>479</v>
      </c>
    </row>
    <row r="210" spans="1:12" x14ac:dyDescent="0.35">
      <c r="A210" s="7" t="s">
        <v>960</v>
      </c>
      <c r="B210" s="403" t="s">
        <v>964</v>
      </c>
      <c r="C210" s="419" t="s">
        <v>964</v>
      </c>
      <c r="D210" s="419" t="s">
        <v>964</v>
      </c>
      <c r="E210" s="420" t="s">
        <v>965</v>
      </c>
      <c r="F210" s="404">
        <f t="shared" ref="F210:F232" si="4">G210*28</f>
        <v>4.2615999999999996</v>
      </c>
      <c r="G210" s="320">
        <v>0.1522</v>
      </c>
      <c r="H210" s="320"/>
      <c r="I210" s="7" t="s">
        <v>487</v>
      </c>
      <c r="J210" s="7" t="s">
        <v>420</v>
      </c>
      <c r="K210" s="405">
        <v>2022</v>
      </c>
      <c r="L210" s="406" t="s">
        <v>479</v>
      </c>
    </row>
    <row r="211" spans="1:12" x14ac:dyDescent="0.35">
      <c r="A211" s="7" t="s">
        <v>960</v>
      </c>
      <c r="B211" s="403" t="s">
        <v>966</v>
      </c>
      <c r="C211" s="419" t="s">
        <v>966</v>
      </c>
      <c r="D211" s="419" t="s">
        <v>966</v>
      </c>
      <c r="E211" s="420" t="s">
        <v>967</v>
      </c>
      <c r="F211" s="404">
        <f t="shared" si="4"/>
        <v>3.8176727122542395</v>
      </c>
      <c r="G211" s="320">
        <f>136.34545400908/1000</f>
        <v>0.13634545400907999</v>
      </c>
      <c r="H211" s="320"/>
      <c r="I211" s="7" t="s">
        <v>487</v>
      </c>
      <c r="J211" s="7" t="s">
        <v>420</v>
      </c>
      <c r="K211" s="405">
        <v>2022</v>
      </c>
      <c r="L211" s="406" t="s">
        <v>479</v>
      </c>
    </row>
    <row r="212" spans="1:12" x14ac:dyDescent="0.35">
      <c r="A212" s="7" t="s">
        <v>960</v>
      </c>
      <c r="B212" s="403" t="s">
        <v>968</v>
      </c>
      <c r="C212" s="419" t="s">
        <v>969</v>
      </c>
      <c r="D212" s="419" t="s">
        <v>968</v>
      </c>
      <c r="E212" s="420" t="s">
        <v>970</v>
      </c>
      <c r="F212" s="404">
        <f t="shared" si="4"/>
        <v>0.14000000000000001</v>
      </c>
      <c r="G212" s="320">
        <v>5.0000000000000001E-3</v>
      </c>
      <c r="H212" s="320"/>
      <c r="I212" s="7" t="s">
        <v>487</v>
      </c>
      <c r="J212" s="7" t="s">
        <v>420</v>
      </c>
      <c r="K212" s="405">
        <v>2022</v>
      </c>
      <c r="L212" s="406" t="s">
        <v>479</v>
      </c>
    </row>
    <row r="213" spans="1:12" x14ac:dyDescent="0.35">
      <c r="A213" s="7" t="s">
        <v>960</v>
      </c>
      <c r="B213" s="403" t="s">
        <v>971</v>
      </c>
      <c r="C213" s="419" t="s">
        <v>971</v>
      </c>
      <c r="D213" s="419" t="s">
        <v>971</v>
      </c>
      <c r="E213" s="420" t="s">
        <v>972</v>
      </c>
      <c r="F213" s="404">
        <f t="shared" si="4"/>
        <v>0.14000000000000001</v>
      </c>
      <c r="G213" s="320">
        <v>5.0000000000000001E-3</v>
      </c>
      <c r="H213" s="320"/>
      <c r="I213" s="7" t="s">
        <v>487</v>
      </c>
      <c r="J213" s="7" t="s">
        <v>420</v>
      </c>
      <c r="K213" s="405">
        <v>2022</v>
      </c>
      <c r="L213" s="406" t="s">
        <v>479</v>
      </c>
    </row>
    <row r="214" spans="1:12" x14ac:dyDescent="0.35">
      <c r="A214" s="7" t="s">
        <v>960</v>
      </c>
      <c r="B214" s="403" t="s">
        <v>973</v>
      </c>
      <c r="C214" s="419" t="s">
        <v>973</v>
      </c>
      <c r="D214" s="419" t="s">
        <v>973</v>
      </c>
      <c r="E214" s="420" t="s">
        <v>974</v>
      </c>
      <c r="F214" s="404">
        <f t="shared" si="4"/>
        <v>0.14000000000000001</v>
      </c>
      <c r="G214" s="320">
        <v>5.0000000000000001E-3</v>
      </c>
      <c r="H214" s="320"/>
      <c r="I214" s="7" t="s">
        <v>487</v>
      </c>
      <c r="J214" s="7" t="s">
        <v>420</v>
      </c>
      <c r="K214" s="405">
        <v>2022</v>
      </c>
      <c r="L214" s="406" t="s">
        <v>479</v>
      </c>
    </row>
    <row r="215" spans="1:12" x14ac:dyDescent="0.35">
      <c r="A215" s="7" t="s">
        <v>960</v>
      </c>
      <c r="B215" s="403" t="s">
        <v>975</v>
      </c>
      <c r="C215" s="419" t="s">
        <v>976</v>
      </c>
      <c r="D215" s="419" t="s">
        <v>975</v>
      </c>
      <c r="E215" s="420" t="s">
        <v>977</v>
      </c>
      <c r="F215" s="404">
        <f t="shared" si="4"/>
        <v>0.504</v>
      </c>
      <c r="G215" s="320">
        <v>1.7999999999999999E-2</v>
      </c>
      <c r="H215" s="320"/>
      <c r="I215" s="7" t="s">
        <v>487</v>
      </c>
      <c r="J215" s="7" t="s">
        <v>420</v>
      </c>
      <c r="K215" s="405">
        <v>2022</v>
      </c>
      <c r="L215" s="406" t="s">
        <v>479</v>
      </c>
    </row>
    <row r="216" spans="1:12" x14ac:dyDescent="0.35">
      <c r="A216" s="7" t="s">
        <v>960</v>
      </c>
      <c r="B216" s="403" t="s">
        <v>978</v>
      </c>
      <c r="C216" s="419" t="s">
        <v>978</v>
      </c>
      <c r="D216" s="419" t="s">
        <v>978</v>
      </c>
      <c r="E216" s="420" t="s">
        <v>979</v>
      </c>
      <c r="F216" s="404">
        <f t="shared" si="4"/>
        <v>0.504</v>
      </c>
      <c r="G216" s="320">
        <v>1.7999999999999999E-2</v>
      </c>
      <c r="H216" s="320"/>
      <c r="I216" s="7" t="s">
        <v>487</v>
      </c>
      <c r="J216" s="7" t="s">
        <v>420</v>
      </c>
      <c r="K216" s="405">
        <v>2022</v>
      </c>
      <c r="L216" s="406" t="s">
        <v>479</v>
      </c>
    </row>
    <row r="217" spans="1:12" x14ac:dyDescent="0.35">
      <c r="A217" s="7" t="s">
        <v>960</v>
      </c>
      <c r="B217" s="403" t="s">
        <v>980</v>
      </c>
      <c r="C217" s="419" t="s">
        <v>980</v>
      </c>
      <c r="D217" s="419" t="s">
        <v>980</v>
      </c>
      <c r="E217" s="420" t="s">
        <v>981</v>
      </c>
      <c r="F217" s="404">
        <f t="shared" si="4"/>
        <v>0.504</v>
      </c>
      <c r="G217" s="320">
        <v>1.7999999999999999E-2</v>
      </c>
      <c r="H217" s="320"/>
      <c r="I217" s="7" t="s">
        <v>487</v>
      </c>
      <c r="J217" s="7" t="s">
        <v>420</v>
      </c>
      <c r="K217" s="405">
        <v>2022</v>
      </c>
      <c r="L217" s="406" t="s">
        <v>479</v>
      </c>
    </row>
    <row r="218" spans="1:12" x14ac:dyDescent="0.35">
      <c r="A218" s="7" t="s">
        <v>960</v>
      </c>
      <c r="B218" s="403" t="s">
        <v>982</v>
      </c>
      <c r="C218" s="419" t="s">
        <v>983</v>
      </c>
      <c r="D218" s="419" t="s">
        <v>982</v>
      </c>
      <c r="E218" s="420" t="s">
        <v>984</v>
      </c>
      <c r="F218" s="404">
        <f t="shared" si="4"/>
        <v>2.4273199999999999</v>
      </c>
      <c r="G218" s="320">
        <v>8.6690000000000003E-2</v>
      </c>
      <c r="H218" s="320"/>
      <c r="I218" s="7" t="s">
        <v>487</v>
      </c>
      <c r="J218" s="7" t="s">
        <v>420</v>
      </c>
      <c r="K218" s="405">
        <v>2022</v>
      </c>
      <c r="L218" s="406" t="s">
        <v>479</v>
      </c>
    </row>
    <row r="219" spans="1:12" x14ac:dyDescent="0.35">
      <c r="A219" s="7" t="s">
        <v>960</v>
      </c>
      <c r="B219" s="403" t="s">
        <v>985</v>
      </c>
      <c r="C219" s="419" t="s">
        <v>985</v>
      </c>
      <c r="D219" s="419" t="s">
        <v>985</v>
      </c>
      <c r="E219" s="420" t="s">
        <v>986</v>
      </c>
      <c r="F219" s="404">
        <f t="shared" si="4"/>
        <v>2.3220400000000003</v>
      </c>
      <c r="G219" s="320">
        <v>8.2930000000000004E-2</v>
      </c>
      <c r="H219" s="320"/>
      <c r="I219" s="7" t="s">
        <v>487</v>
      </c>
      <c r="J219" s="7" t="s">
        <v>420</v>
      </c>
      <c r="K219" s="405">
        <v>2022</v>
      </c>
      <c r="L219" s="406" t="s">
        <v>479</v>
      </c>
    </row>
    <row r="220" spans="1:12" x14ac:dyDescent="0.35">
      <c r="A220" s="7" t="s">
        <v>960</v>
      </c>
      <c r="B220" s="403" t="s">
        <v>987</v>
      </c>
      <c r="C220" s="419" t="s">
        <v>987</v>
      </c>
      <c r="D220" s="419" t="s">
        <v>987</v>
      </c>
      <c r="E220" s="420" t="s">
        <v>988</v>
      </c>
      <c r="F220" s="404">
        <f t="shared" si="4"/>
        <v>1.9515407226285935</v>
      </c>
      <c r="G220" s="320">
        <f>69.6978829510212/1000</f>
        <v>6.9697882951021195E-2</v>
      </c>
      <c r="H220" s="320"/>
      <c r="I220" s="7" t="s">
        <v>487</v>
      </c>
      <c r="J220" s="7" t="s">
        <v>420</v>
      </c>
      <c r="K220" s="405">
        <v>2022</v>
      </c>
      <c r="L220" s="406" t="s">
        <v>479</v>
      </c>
    </row>
    <row r="221" spans="1:12" x14ac:dyDescent="0.35">
      <c r="A221" s="7" t="s">
        <v>960</v>
      </c>
      <c r="B221" s="403" t="s">
        <v>989</v>
      </c>
      <c r="C221" s="419" t="s">
        <v>990</v>
      </c>
      <c r="D221" s="419" t="s">
        <v>989</v>
      </c>
      <c r="E221" s="420" t="s">
        <v>991</v>
      </c>
      <c r="F221" s="404">
        <f t="shared" si="4"/>
        <v>0</v>
      </c>
      <c r="G221" s="320">
        <v>0</v>
      </c>
      <c r="H221" s="320"/>
      <c r="I221" s="7" t="s">
        <v>487</v>
      </c>
      <c r="J221" s="7" t="s">
        <v>420</v>
      </c>
      <c r="K221" s="405">
        <v>2022</v>
      </c>
      <c r="L221" s="406" t="s">
        <v>479</v>
      </c>
    </row>
    <row r="222" spans="1:12" x14ac:dyDescent="0.35">
      <c r="A222" s="7" t="s">
        <v>960</v>
      </c>
      <c r="B222" s="403" t="s">
        <v>992</v>
      </c>
      <c r="C222" s="419" t="s">
        <v>992</v>
      </c>
      <c r="D222" s="419" t="s">
        <v>992</v>
      </c>
      <c r="E222" s="420" t="s">
        <v>993</v>
      </c>
      <c r="F222" s="404">
        <f t="shared" si="4"/>
        <v>0</v>
      </c>
      <c r="G222" s="320">
        <v>0</v>
      </c>
      <c r="H222" s="320"/>
      <c r="I222" s="7" t="s">
        <v>487</v>
      </c>
      <c r="J222" s="7" t="s">
        <v>420</v>
      </c>
      <c r="K222" s="405">
        <v>2022</v>
      </c>
      <c r="L222" s="406" t="s">
        <v>479</v>
      </c>
    </row>
    <row r="223" spans="1:12" x14ac:dyDescent="0.35">
      <c r="A223" s="7" t="s">
        <v>960</v>
      </c>
      <c r="B223" s="403" t="s">
        <v>994</v>
      </c>
      <c r="C223" s="419" t="s">
        <v>994</v>
      </c>
      <c r="D223" s="419" t="s">
        <v>994</v>
      </c>
      <c r="E223" s="420" t="s">
        <v>995</v>
      </c>
      <c r="F223" s="404">
        <f t="shared" si="4"/>
        <v>0</v>
      </c>
      <c r="G223" s="320">
        <v>0</v>
      </c>
      <c r="H223" s="320"/>
      <c r="I223" s="7" t="s">
        <v>487</v>
      </c>
      <c r="J223" s="7" t="s">
        <v>420</v>
      </c>
      <c r="K223" s="405">
        <v>2022</v>
      </c>
      <c r="L223" s="406" t="s">
        <v>479</v>
      </c>
    </row>
    <row r="224" spans="1:12" x14ac:dyDescent="0.35">
      <c r="A224" s="7" t="s">
        <v>960</v>
      </c>
      <c r="B224" s="403" t="s">
        <v>996</v>
      </c>
      <c r="C224" s="419" t="s">
        <v>997</v>
      </c>
      <c r="D224" s="419" t="s">
        <v>996</v>
      </c>
      <c r="E224" s="420" t="s">
        <v>998</v>
      </c>
      <c r="F224" s="404">
        <f t="shared" si="4"/>
        <v>1.6519999999999996E-2</v>
      </c>
      <c r="G224" s="408">
        <v>5.8999999999999992E-4</v>
      </c>
      <c r="H224" s="320"/>
      <c r="I224" s="7" t="s">
        <v>487</v>
      </c>
      <c r="J224" s="7" t="s">
        <v>420</v>
      </c>
      <c r="K224" s="405">
        <v>2022</v>
      </c>
      <c r="L224" s="406" t="s">
        <v>479</v>
      </c>
    </row>
    <row r="225" spans="1:12" x14ac:dyDescent="0.35">
      <c r="A225" s="7" t="s">
        <v>960</v>
      </c>
      <c r="B225" s="403" t="s">
        <v>999</v>
      </c>
      <c r="C225" s="419" t="s">
        <v>999</v>
      </c>
      <c r="D225" s="419" t="s">
        <v>999</v>
      </c>
      <c r="E225" s="420" t="s">
        <v>1000</v>
      </c>
      <c r="F225" s="404">
        <f t="shared" si="4"/>
        <v>1.6519999999999996E-2</v>
      </c>
      <c r="G225" s="320">
        <v>5.8999999999999992E-4</v>
      </c>
      <c r="H225" s="320"/>
      <c r="I225" s="7" t="s">
        <v>487</v>
      </c>
      <c r="J225" s="7" t="s">
        <v>420</v>
      </c>
      <c r="K225" s="405">
        <v>2022</v>
      </c>
      <c r="L225" s="406" t="s">
        <v>479</v>
      </c>
    </row>
    <row r="226" spans="1:12" x14ac:dyDescent="0.35">
      <c r="A226" s="7" t="s">
        <v>960</v>
      </c>
      <c r="B226" s="403" t="s">
        <v>1001</v>
      </c>
      <c r="C226" s="419" t="s">
        <v>1001</v>
      </c>
      <c r="D226" s="419" t="s">
        <v>1001</v>
      </c>
      <c r="E226" s="420" t="s">
        <v>1002</v>
      </c>
      <c r="F226" s="404">
        <f t="shared" si="4"/>
        <v>1.6519999999999996E-2</v>
      </c>
      <c r="G226" s="320">
        <v>5.8999999999999992E-4</v>
      </c>
      <c r="H226" s="320"/>
      <c r="I226" s="7" t="s">
        <v>487</v>
      </c>
      <c r="J226" s="7" t="s">
        <v>420</v>
      </c>
      <c r="K226" s="405">
        <v>2022</v>
      </c>
      <c r="L226" s="406" t="s">
        <v>479</v>
      </c>
    </row>
    <row r="227" spans="1:12" x14ac:dyDescent="0.35">
      <c r="A227" s="7" t="s">
        <v>960</v>
      </c>
      <c r="B227" s="403" t="s">
        <v>1003</v>
      </c>
      <c r="C227" s="419" t="s">
        <v>1004</v>
      </c>
      <c r="D227" s="419" t="s">
        <v>1003</v>
      </c>
      <c r="E227" s="420" t="s">
        <v>1005</v>
      </c>
      <c r="F227" s="404">
        <f t="shared" si="4"/>
        <v>0.224</v>
      </c>
      <c r="G227" s="320">
        <v>8.0000000000000002E-3</v>
      </c>
      <c r="H227" s="320"/>
      <c r="I227" s="7" t="s">
        <v>487</v>
      </c>
      <c r="J227" s="7" t="s">
        <v>420</v>
      </c>
      <c r="K227" s="405">
        <v>2022</v>
      </c>
      <c r="L227" s="406" t="s">
        <v>479</v>
      </c>
    </row>
    <row r="228" spans="1:12" x14ac:dyDescent="0.35">
      <c r="A228" s="7" t="s">
        <v>960</v>
      </c>
      <c r="B228" s="403" t="s">
        <v>1006</v>
      </c>
      <c r="C228" s="419" t="s">
        <v>1006</v>
      </c>
      <c r="D228" s="419" t="s">
        <v>1006</v>
      </c>
      <c r="E228" s="420" t="s">
        <v>1007</v>
      </c>
      <c r="F228" s="404">
        <f t="shared" si="4"/>
        <v>0.224</v>
      </c>
      <c r="G228" s="320">
        <v>8.0000000000000002E-3</v>
      </c>
      <c r="H228" s="320"/>
      <c r="I228" s="7" t="s">
        <v>487</v>
      </c>
      <c r="J228" s="7" t="s">
        <v>420</v>
      </c>
      <c r="K228" s="405">
        <v>2022</v>
      </c>
      <c r="L228" s="406" t="s">
        <v>479</v>
      </c>
    </row>
    <row r="229" spans="1:12" x14ac:dyDescent="0.35">
      <c r="A229" s="7" t="s">
        <v>960</v>
      </c>
      <c r="B229" s="403" t="s">
        <v>1008</v>
      </c>
      <c r="C229" s="419" t="s">
        <v>1008</v>
      </c>
      <c r="D229" s="419" t="s">
        <v>1008</v>
      </c>
      <c r="E229" s="420" t="s">
        <v>1009</v>
      </c>
      <c r="F229" s="404">
        <f t="shared" si="4"/>
        <v>0.28476000000000001</v>
      </c>
      <c r="G229" s="320">
        <v>1.017E-2</v>
      </c>
      <c r="H229" s="320"/>
      <c r="I229" s="7" t="s">
        <v>487</v>
      </c>
      <c r="J229" s="7" t="s">
        <v>420</v>
      </c>
      <c r="K229" s="405">
        <v>2022</v>
      </c>
      <c r="L229" s="406" t="s">
        <v>479</v>
      </c>
    </row>
    <row r="230" spans="1:12" x14ac:dyDescent="0.35">
      <c r="A230" s="7" t="s">
        <v>960</v>
      </c>
      <c r="B230" s="403" t="s">
        <v>1010</v>
      </c>
      <c r="C230" s="419" t="s">
        <v>1011</v>
      </c>
      <c r="D230" s="419" t="s">
        <v>1010</v>
      </c>
      <c r="E230" s="420" t="s">
        <v>1012</v>
      </c>
      <c r="F230" s="404">
        <f t="shared" si="4"/>
        <v>3.0800000000000001E-2</v>
      </c>
      <c r="G230" s="320">
        <v>1.1000000000000001E-3</v>
      </c>
      <c r="H230" s="320"/>
      <c r="I230" s="7" t="s">
        <v>487</v>
      </c>
      <c r="J230" s="7" t="s">
        <v>420</v>
      </c>
      <c r="K230" s="405">
        <v>2022</v>
      </c>
      <c r="L230" s="406" t="s">
        <v>479</v>
      </c>
    </row>
    <row r="231" spans="1:12" x14ac:dyDescent="0.35">
      <c r="A231" s="7" t="s">
        <v>960</v>
      </c>
      <c r="B231" s="403" t="s">
        <v>1013</v>
      </c>
      <c r="C231" s="419" t="s">
        <v>1013</v>
      </c>
      <c r="D231" s="419" t="s">
        <v>1013</v>
      </c>
      <c r="E231" s="420" t="s">
        <v>1014</v>
      </c>
      <c r="F231" s="404">
        <f t="shared" si="4"/>
        <v>4.2000000000000003E-2</v>
      </c>
      <c r="G231" s="320">
        <v>1.5E-3</v>
      </c>
      <c r="H231" s="320"/>
      <c r="I231" s="7" t="s">
        <v>487</v>
      </c>
      <c r="J231" s="7" t="s">
        <v>420</v>
      </c>
      <c r="K231" s="405">
        <v>2022</v>
      </c>
      <c r="L231" s="406" t="s">
        <v>479</v>
      </c>
    </row>
    <row r="232" spans="1:12" x14ac:dyDescent="0.35">
      <c r="A232" s="7" t="s">
        <v>960</v>
      </c>
      <c r="B232" s="403" t="s">
        <v>1015</v>
      </c>
      <c r="C232" s="419" t="s">
        <v>1015</v>
      </c>
      <c r="D232" s="419" t="s">
        <v>1015</v>
      </c>
      <c r="E232" s="420" t="s">
        <v>1016</v>
      </c>
      <c r="F232" s="404">
        <f t="shared" si="4"/>
        <v>3.9199999999999999E-2</v>
      </c>
      <c r="G232" s="320">
        <v>1.4E-3</v>
      </c>
      <c r="H232" s="320"/>
      <c r="I232" s="7" t="s">
        <v>487</v>
      </c>
      <c r="J232" s="7" t="s">
        <v>420</v>
      </c>
      <c r="K232" s="405">
        <v>2022</v>
      </c>
      <c r="L232" s="406" t="s">
        <v>479</v>
      </c>
    </row>
    <row r="233" spans="1:12" x14ac:dyDescent="0.35">
      <c r="A233" s="7" t="s">
        <v>1017</v>
      </c>
      <c r="B233" s="7" t="s">
        <v>1018</v>
      </c>
      <c r="C233" s="421" t="s">
        <v>1018</v>
      </c>
      <c r="D233" s="421" t="s">
        <v>1018</v>
      </c>
      <c r="E233" s="422" t="s">
        <v>1018</v>
      </c>
      <c r="F233" s="412">
        <v>9.0339999999999985E-6</v>
      </c>
      <c r="G233" s="128"/>
      <c r="H233" s="128"/>
      <c r="I233" s="7" t="s">
        <v>1019</v>
      </c>
      <c r="J233" s="7" t="s">
        <v>420</v>
      </c>
      <c r="K233" s="405">
        <v>2024</v>
      </c>
      <c r="L233" s="406" t="s">
        <v>571</v>
      </c>
    </row>
    <row r="234" spans="1:12" x14ac:dyDescent="0.35">
      <c r="A234" s="7" t="s">
        <v>1020</v>
      </c>
      <c r="B234" s="7" t="s">
        <v>1021</v>
      </c>
      <c r="C234" s="421" t="s">
        <v>1021</v>
      </c>
      <c r="D234" s="421" t="s">
        <v>1021</v>
      </c>
      <c r="E234" s="422" t="s">
        <v>1021</v>
      </c>
      <c r="F234" s="412">
        <v>2.3799999999999998E-4</v>
      </c>
      <c r="G234" s="128"/>
      <c r="H234" s="128"/>
      <c r="I234" s="7" t="s">
        <v>123</v>
      </c>
      <c r="J234" s="7" t="s">
        <v>420</v>
      </c>
      <c r="K234" s="405">
        <v>2022</v>
      </c>
      <c r="L234" s="406" t="s">
        <v>1022</v>
      </c>
    </row>
    <row r="235" spans="1:12" x14ac:dyDescent="0.35">
      <c r="A235" s="7" t="s">
        <v>1020</v>
      </c>
      <c r="B235" s="7" t="s">
        <v>1023</v>
      </c>
      <c r="C235" s="421" t="s">
        <v>1023</v>
      </c>
      <c r="D235" s="421" t="s">
        <v>1023</v>
      </c>
      <c r="E235" s="422" t="s">
        <v>1023</v>
      </c>
      <c r="F235" s="412">
        <f>1000*0.26</f>
        <v>260</v>
      </c>
      <c r="G235" s="128"/>
      <c r="H235" s="128"/>
      <c r="I235" s="7" t="s">
        <v>75</v>
      </c>
      <c r="J235" s="7" t="s">
        <v>420</v>
      </c>
      <c r="K235" s="405">
        <v>2024</v>
      </c>
      <c r="L235" s="406" t="s">
        <v>571</v>
      </c>
    </row>
    <row r="236" spans="1:12" x14ac:dyDescent="0.35">
      <c r="A236" s="7" t="s">
        <v>1020</v>
      </c>
      <c r="B236" s="7" t="s">
        <v>1024</v>
      </c>
      <c r="C236" s="421" t="s">
        <v>1024</v>
      </c>
      <c r="D236" s="421" t="s">
        <v>1024</v>
      </c>
      <c r="E236" s="422" t="s">
        <v>1024</v>
      </c>
      <c r="F236" s="412">
        <f>1/1000*0.25975</f>
        <v>2.5975E-4</v>
      </c>
      <c r="G236" s="128"/>
      <c r="H236" s="128"/>
      <c r="I236" s="7" t="s">
        <v>68</v>
      </c>
      <c r="J236" s="7" t="s">
        <v>420</v>
      </c>
      <c r="K236" s="405">
        <v>2024</v>
      </c>
      <c r="L236" s="406" t="s">
        <v>571</v>
      </c>
    </row>
    <row r="237" spans="1:12" x14ac:dyDescent="0.35">
      <c r="A237" s="7" t="s">
        <v>1020</v>
      </c>
      <c r="B237" s="7" t="s">
        <v>1025</v>
      </c>
      <c r="C237" s="421" t="s">
        <v>1026</v>
      </c>
      <c r="D237" s="421" t="s">
        <v>1026</v>
      </c>
      <c r="E237" s="422" t="s">
        <v>1026</v>
      </c>
      <c r="F237" s="412">
        <f>1/1000*2.54015</f>
        <v>2.5401500000000001E-3</v>
      </c>
      <c r="G237" s="128"/>
      <c r="H237" s="128"/>
      <c r="I237" s="7" t="s">
        <v>1027</v>
      </c>
      <c r="J237" s="7" t="s">
        <v>420</v>
      </c>
      <c r="K237" s="405">
        <v>2024</v>
      </c>
      <c r="L237" s="406" t="s">
        <v>571</v>
      </c>
    </row>
    <row r="238" spans="1:12" x14ac:dyDescent="0.35">
      <c r="A238" s="7" t="s">
        <v>1020</v>
      </c>
      <c r="B238" s="7" t="s">
        <v>1028</v>
      </c>
      <c r="C238" s="421" t="s">
        <v>1028</v>
      </c>
      <c r="D238" s="421" t="s">
        <v>1028</v>
      </c>
      <c r="E238" s="422" t="s">
        <v>1028</v>
      </c>
      <c r="F238" s="412">
        <v>0.26</v>
      </c>
      <c r="G238" s="128"/>
      <c r="H238" s="128"/>
      <c r="I238" s="7" t="s">
        <v>72</v>
      </c>
      <c r="J238" s="7" t="s">
        <v>420</v>
      </c>
      <c r="K238" s="405">
        <v>2024</v>
      </c>
      <c r="L238" s="406" t="s">
        <v>571</v>
      </c>
    </row>
    <row r="239" spans="1:12" x14ac:dyDescent="0.35">
      <c r="A239" s="7" t="s">
        <v>1020</v>
      </c>
      <c r="B239" s="7" t="s">
        <v>1029</v>
      </c>
      <c r="C239" s="421" t="s">
        <v>1029</v>
      </c>
      <c r="D239" s="421" t="s">
        <v>1029</v>
      </c>
      <c r="E239" s="422" t="s">
        <v>1029</v>
      </c>
      <c r="F239" s="412">
        <f>0.20264/1000</f>
        <v>2.0264E-4</v>
      </c>
      <c r="G239" s="128"/>
      <c r="H239" s="128"/>
      <c r="I239" s="7" t="s">
        <v>68</v>
      </c>
      <c r="J239" s="7" t="s">
        <v>420</v>
      </c>
      <c r="K239" s="405">
        <v>2024</v>
      </c>
      <c r="L239" s="406" t="s">
        <v>571</v>
      </c>
    </row>
    <row r="240" spans="1:12" x14ac:dyDescent="0.35">
      <c r="A240" s="7" t="s">
        <v>1020</v>
      </c>
      <c r="B240" s="7" t="s">
        <v>1030</v>
      </c>
      <c r="C240" s="421" t="s">
        <v>1031</v>
      </c>
      <c r="D240" s="421" t="s">
        <v>1031</v>
      </c>
      <c r="E240" s="422" t="s">
        <v>1031</v>
      </c>
      <c r="F240" s="412">
        <f>1/1000*0.44942</f>
        <v>4.4942000000000002E-4</v>
      </c>
      <c r="G240" s="128"/>
      <c r="H240" s="128"/>
      <c r="I240" s="7" t="s">
        <v>1027</v>
      </c>
      <c r="J240" s="7" t="s">
        <v>420</v>
      </c>
      <c r="K240" s="405">
        <v>2024</v>
      </c>
      <c r="L240" s="406" t="s">
        <v>571</v>
      </c>
    </row>
    <row r="241" spans="1:12" x14ac:dyDescent="0.35">
      <c r="A241" s="7" t="s">
        <v>1020</v>
      </c>
      <c r="B241" s="7" t="s">
        <v>1032</v>
      </c>
      <c r="C241" s="421" t="s">
        <v>1032</v>
      </c>
      <c r="D241" s="421" t="s">
        <v>1032</v>
      </c>
      <c r="E241" s="422" t="s">
        <v>1032</v>
      </c>
      <c r="F241" s="412">
        <v>0.20263999999999999</v>
      </c>
      <c r="G241" s="128"/>
      <c r="H241" s="128"/>
      <c r="I241" s="7" t="s">
        <v>72</v>
      </c>
      <c r="J241" s="7" t="s">
        <v>420</v>
      </c>
      <c r="K241" s="405">
        <v>2024</v>
      </c>
      <c r="L241" s="406" t="s">
        <v>571</v>
      </c>
    </row>
    <row r="242" spans="1:12" x14ac:dyDescent="0.35">
      <c r="A242" s="7" t="s">
        <v>1020</v>
      </c>
      <c r="B242" s="7" t="s">
        <v>1033</v>
      </c>
      <c r="C242" s="421" t="s">
        <v>1034</v>
      </c>
      <c r="D242" s="421" t="s">
        <v>1034</v>
      </c>
      <c r="E242" s="422" t="s">
        <v>1034</v>
      </c>
      <c r="F242" s="412">
        <f>1/1000*2568.16441</f>
        <v>2.5681644100000001</v>
      </c>
      <c r="G242" s="128"/>
      <c r="H242" s="128"/>
      <c r="I242" s="7" t="s">
        <v>70</v>
      </c>
      <c r="J242" s="7" t="s">
        <v>420</v>
      </c>
      <c r="K242" s="405">
        <v>2024</v>
      </c>
      <c r="L242" s="406" t="s">
        <v>571</v>
      </c>
    </row>
    <row r="243" spans="1:12" x14ac:dyDescent="0.35">
      <c r="A243" s="7" t="s">
        <v>1020</v>
      </c>
      <c r="B243" s="7" t="s">
        <v>1035</v>
      </c>
      <c r="C243" s="421" t="s">
        <v>1035</v>
      </c>
      <c r="D243" s="421" t="s">
        <v>1035</v>
      </c>
      <c r="E243" s="422" t="s">
        <v>1035</v>
      </c>
      <c r="F243" s="412">
        <v>365.49</v>
      </c>
      <c r="G243" s="128"/>
      <c r="H243" s="128"/>
      <c r="I243" s="7" t="s">
        <v>75</v>
      </c>
      <c r="J243" s="7" t="s">
        <v>420</v>
      </c>
      <c r="K243" s="405">
        <v>2024</v>
      </c>
      <c r="L243" s="406" t="s">
        <v>571</v>
      </c>
    </row>
    <row r="244" spans="1:12" x14ac:dyDescent="0.35">
      <c r="A244" s="7" t="s">
        <v>1020</v>
      </c>
      <c r="B244" s="7" t="s">
        <v>1036</v>
      </c>
      <c r="C244" s="421" t="s">
        <v>1036</v>
      </c>
      <c r="D244" s="421" t="s">
        <v>1036</v>
      </c>
      <c r="E244" s="422" t="s">
        <v>1036</v>
      </c>
      <c r="F244" s="412">
        <v>3.6549E-4</v>
      </c>
      <c r="G244" s="128"/>
      <c r="H244" s="128"/>
      <c r="I244" s="7" t="s">
        <v>68</v>
      </c>
      <c r="J244" s="7" t="s">
        <v>420</v>
      </c>
      <c r="K244" s="405">
        <v>2024</v>
      </c>
      <c r="L244" s="406" t="s">
        <v>571</v>
      </c>
    </row>
    <row r="245" spans="1:12" x14ac:dyDescent="0.35">
      <c r="A245" s="7" t="s">
        <v>1020</v>
      </c>
      <c r="B245" s="7" t="s">
        <v>1037</v>
      </c>
      <c r="C245" s="421" t="s">
        <v>1037</v>
      </c>
      <c r="D245" s="421" t="s">
        <v>1037</v>
      </c>
      <c r="E245" s="422" t="s">
        <v>1037</v>
      </c>
      <c r="F245" s="412">
        <v>0.36548999999999998</v>
      </c>
      <c r="G245" s="128"/>
      <c r="H245" s="128"/>
      <c r="I245" s="7" t="s">
        <v>72</v>
      </c>
      <c r="J245" s="7" t="s">
        <v>420</v>
      </c>
      <c r="K245" s="405">
        <v>2024</v>
      </c>
      <c r="L245" s="406" t="s">
        <v>571</v>
      </c>
    </row>
    <row r="246" spans="1:12" x14ac:dyDescent="0.35">
      <c r="A246" s="7" t="s">
        <v>1020</v>
      </c>
      <c r="B246" s="7" t="s">
        <v>1038</v>
      </c>
      <c r="C246" s="421" t="s">
        <v>1039</v>
      </c>
      <c r="D246" s="421" t="s">
        <v>1039</v>
      </c>
      <c r="E246" s="422" t="s">
        <v>1039</v>
      </c>
      <c r="F246" s="412">
        <v>2.9049523399999999</v>
      </c>
      <c r="G246" s="128"/>
      <c r="H246" s="128"/>
      <c r="I246" s="7" t="s">
        <v>70</v>
      </c>
      <c r="J246" s="7" t="s">
        <v>420</v>
      </c>
      <c r="K246" s="405">
        <v>2024</v>
      </c>
      <c r="L246" s="406" t="s">
        <v>571</v>
      </c>
    </row>
    <row r="247" spans="1:12" x14ac:dyDescent="0.35">
      <c r="A247" s="7" t="s">
        <v>1020</v>
      </c>
      <c r="B247" s="7" t="s">
        <v>1040</v>
      </c>
      <c r="C247" s="421" t="s">
        <v>1040</v>
      </c>
      <c r="D247" s="421" t="s">
        <v>1040</v>
      </c>
      <c r="E247" s="422" t="s">
        <v>1040</v>
      </c>
      <c r="F247" s="412">
        <f>3014.09462/1000</f>
        <v>3.0140946199999998</v>
      </c>
      <c r="G247" s="128"/>
      <c r="H247" s="128"/>
      <c r="I247" s="7" t="s">
        <v>1027</v>
      </c>
      <c r="J247" s="7" t="s">
        <v>420</v>
      </c>
      <c r="K247" s="405">
        <v>2024</v>
      </c>
      <c r="L247" s="406" t="s">
        <v>571</v>
      </c>
    </row>
    <row r="248" spans="1:12" x14ac:dyDescent="0.35">
      <c r="A248" s="7" t="s">
        <v>1020</v>
      </c>
      <c r="B248" s="403" t="s">
        <v>1041</v>
      </c>
      <c r="C248" s="419" t="s">
        <v>1041</v>
      </c>
      <c r="D248" s="419" t="s">
        <v>1041</v>
      </c>
      <c r="E248" s="420" t="s">
        <v>1041</v>
      </c>
      <c r="F248" s="407">
        <v>254.02999999999997</v>
      </c>
      <c r="G248" s="128"/>
      <c r="H248" s="128"/>
      <c r="I248" s="7" t="s">
        <v>75</v>
      </c>
      <c r="J248" s="7" t="s">
        <v>420</v>
      </c>
      <c r="K248" s="405">
        <v>2024</v>
      </c>
      <c r="L248" s="406" t="s">
        <v>571</v>
      </c>
    </row>
    <row r="249" spans="1:12" x14ac:dyDescent="0.35">
      <c r="A249" s="7" t="s">
        <v>1020</v>
      </c>
      <c r="B249" s="403" t="s">
        <v>1042</v>
      </c>
      <c r="C249" s="419" t="s">
        <v>1042</v>
      </c>
      <c r="D249" s="419" t="s">
        <v>1042</v>
      </c>
      <c r="E249" s="420" t="s">
        <v>1042</v>
      </c>
      <c r="F249" s="407">
        <v>2.5402999999999998E-4</v>
      </c>
      <c r="G249" s="128"/>
      <c r="H249" s="128"/>
      <c r="I249" s="7" t="s">
        <v>68</v>
      </c>
      <c r="J249" s="7" t="s">
        <v>420</v>
      </c>
      <c r="K249" s="405">
        <v>2024</v>
      </c>
      <c r="L249" s="406" t="s">
        <v>571</v>
      </c>
    </row>
    <row r="250" spans="1:12" x14ac:dyDescent="0.35">
      <c r="A250" s="7" t="s">
        <v>1020</v>
      </c>
      <c r="B250" s="403" t="s">
        <v>1043</v>
      </c>
      <c r="C250" s="419" t="s">
        <v>1044</v>
      </c>
      <c r="D250" s="419" t="s">
        <v>1044</v>
      </c>
      <c r="E250" s="420" t="s">
        <v>1044</v>
      </c>
      <c r="F250" s="407">
        <f>1/1000*2.51279</f>
        <v>2.51279E-3</v>
      </c>
      <c r="G250" s="128"/>
      <c r="H250" s="128"/>
      <c r="I250" s="7" t="s">
        <v>1027</v>
      </c>
      <c r="J250" s="7" t="s">
        <v>420</v>
      </c>
      <c r="K250" s="405">
        <v>2024</v>
      </c>
      <c r="L250" s="406" t="s">
        <v>571</v>
      </c>
    </row>
    <row r="251" spans="1:12" x14ac:dyDescent="0.35">
      <c r="A251" s="7" t="s">
        <v>1020</v>
      </c>
      <c r="B251" s="403" t="s">
        <v>1045</v>
      </c>
      <c r="C251" s="419" t="s">
        <v>1045</v>
      </c>
      <c r="D251" s="419" t="s">
        <v>1045</v>
      </c>
      <c r="E251" s="420" t="s">
        <v>1045</v>
      </c>
      <c r="F251" s="407">
        <v>0.25402999999999998</v>
      </c>
      <c r="G251" s="128"/>
      <c r="H251" s="128"/>
      <c r="I251" s="7" t="s">
        <v>72</v>
      </c>
      <c r="J251" s="7" t="s">
        <v>420</v>
      </c>
      <c r="K251" s="405">
        <v>2024</v>
      </c>
      <c r="L251" s="406" t="s">
        <v>571</v>
      </c>
    </row>
    <row r="252" spans="1:12" x14ac:dyDescent="0.35">
      <c r="A252" s="7" t="s">
        <v>1020</v>
      </c>
      <c r="B252" s="403" t="s">
        <v>1046</v>
      </c>
      <c r="C252" s="419" t="s">
        <v>1046</v>
      </c>
      <c r="D252" s="419" t="s">
        <v>1046</v>
      </c>
      <c r="E252" s="420" t="s">
        <v>1046</v>
      </c>
      <c r="F252" s="407">
        <f>1/1000*0.2044</f>
        <v>2.0440000000000001E-4</v>
      </c>
      <c r="G252" s="128"/>
      <c r="H252" s="128"/>
      <c r="I252" s="7" t="s">
        <v>68</v>
      </c>
      <c r="J252" s="7" t="s">
        <v>420</v>
      </c>
      <c r="K252" s="405">
        <v>2024</v>
      </c>
      <c r="L252" s="406" t="s">
        <v>571</v>
      </c>
    </row>
    <row r="253" spans="1:12" x14ac:dyDescent="0.35">
      <c r="A253" s="7" t="s">
        <v>1020</v>
      </c>
      <c r="B253" s="7" t="s">
        <v>1047</v>
      </c>
      <c r="C253" s="421" t="s">
        <v>1048</v>
      </c>
      <c r="D253" s="421" t="s">
        <v>1048</v>
      </c>
      <c r="E253" s="422" t="s">
        <v>1048</v>
      </c>
      <c r="F253" s="412">
        <v>1.17216E-3</v>
      </c>
      <c r="G253" s="128"/>
      <c r="H253" s="128"/>
      <c r="I253" s="7" t="s">
        <v>1027</v>
      </c>
      <c r="J253" s="7" t="s">
        <v>420</v>
      </c>
      <c r="K253" s="405">
        <v>2024</v>
      </c>
      <c r="L253" s="406" t="s">
        <v>571</v>
      </c>
    </row>
    <row r="254" spans="1:12" x14ac:dyDescent="0.35">
      <c r="A254" s="7" t="s">
        <v>1020</v>
      </c>
      <c r="B254" s="403" t="s">
        <v>1049</v>
      </c>
      <c r="C254" s="419" t="s">
        <v>1049</v>
      </c>
      <c r="D254" s="419" t="s">
        <v>1049</v>
      </c>
      <c r="E254" s="420" t="s">
        <v>1049</v>
      </c>
      <c r="F254" s="407">
        <v>0.2044</v>
      </c>
      <c r="G254" s="128"/>
      <c r="H254" s="128"/>
      <c r="I254" s="7" t="s">
        <v>72</v>
      </c>
      <c r="J254" s="7" t="s">
        <v>420</v>
      </c>
      <c r="K254" s="405">
        <v>2024</v>
      </c>
      <c r="L254" s="406" t="s">
        <v>571</v>
      </c>
    </row>
    <row r="255" spans="1:12" x14ac:dyDescent="0.35">
      <c r="A255" s="7" t="s">
        <v>1020</v>
      </c>
      <c r="B255" s="403" t="s">
        <v>1050</v>
      </c>
      <c r="C255" s="419" t="s">
        <v>1051</v>
      </c>
      <c r="D255" s="419" t="s">
        <v>1051</v>
      </c>
      <c r="E255" s="420" t="s">
        <v>1051</v>
      </c>
      <c r="F255" s="407">
        <f>1/1000*2590.46441</f>
        <v>2.5904644100000001</v>
      </c>
      <c r="G255" s="128"/>
      <c r="H255" s="128"/>
      <c r="I255" s="7" t="s">
        <v>70</v>
      </c>
      <c r="J255" s="7" t="s">
        <v>420</v>
      </c>
      <c r="K255" s="405">
        <v>2024</v>
      </c>
      <c r="L255" s="406" t="s">
        <v>571</v>
      </c>
    </row>
    <row r="256" spans="1:12" x14ac:dyDescent="0.35">
      <c r="A256" s="7" t="s">
        <v>1020</v>
      </c>
      <c r="B256" s="7" t="s">
        <v>1052</v>
      </c>
      <c r="C256" s="421" t="s">
        <v>1052</v>
      </c>
      <c r="D256" s="421" t="s">
        <v>1052</v>
      </c>
      <c r="E256" s="422" t="s">
        <v>1052</v>
      </c>
      <c r="F256" s="412">
        <v>230.30999999999997</v>
      </c>
      <c r="G256" s="128"/>
      <c r="H256" s="128"/>
      <c r="I256" s="7" t="s">
        <v>75</v>
      </c>
      <c r="J256" s="7" t="s">
        <v>420</v>
      </c>
      <c r="K256" s="405">
        <v>2024</v>
      </c>
      <c r="L256" s="406" t="s">
        <v>571</v>
      </c>
    </row>
    <row r="257" spans="1:12" x14ac:dyDescent="0.35">
      <c r="A257" s="7" t="s">
        <v>1020</v>
      </c>
      <c r="B257" s="7" t="s">
        <v>1053</v>
      </c>
      <c r="C257" s="421" t="s">
        <v>1053</v>
      </c>
      <c r="D257" s="421" t="s">
        <v>1053</v>
      </c>
      <c r="E257" s="422" t="s">
        <v>1053</v>
      </c>
      <c r="F257" s="412">
        <v>2.3030999999999998E-4</v>
      </c>
      <c r="G257" s="128"/>
      <c r="H257" s="128"/>
      <c r="I257" s="7" t="s">
        <v>68</v>
      </c>
      <c r="J257" s="7" t="s">
        <v>420</v>
      </c>
      <c r="K257" s="405">
        <v>2024</v>
      </c>
      <c r="L257" s="406" t="s">
        <v>571</v>
      </c>
    </row>
    <row r="258" spans="1:12" x14ac:dyDescent="0.35">
      <c r="A258" s="7" t="s">
        <v>1020</v>
      </c>
      <c r="B258" s="7" t="s">
        <v>1054</v>
      </c>
      <c r="C258" s="421" t="s">
        <v>1055</v>
      </c>
      <c r="D258" s="421" t="s">
        <v>1055</v>
      </c>
      <c r="E258" s="422" t="s">
        <v>1055</v>
      </c>
      <c r="F258" s="412">
        <v>1.5571300000000001E-3</v>
      </c>
      <c r="G258" s="128"/>
      <c r="H258" s="128"/>
      <c r="I258" s="7" t="s">
        <v>1027</v>
      </c>
      <c r="J258" s="7" t="s">
        <v>420</v>
      </c>
      <c r="K258" s="405">
        <v>2024</v>
      </c>
      <c r="L258" s="406" t="s">
        <v>571</v>
      </c>
    </row>
    <row r="259" spans="1:12" x14ac:dyDescent="0.35">
      <c r="A259" s="7" t="s">
        <v>1020</v>
      </c>
      <c r="B259" s="7" t="s">
        <v>1056</v>
      </c>
      <c r="C259" s="421" t="s">
        <v>1056</v>
      </c>
      <c r="D259" s="421" t="s">
        <v>1056</v>
      </c>
      <c r="E259" s="422" t="s">
        <v>1056</v>
      </c>
      <c r="F259" s="412">
        <v>0.23030999999999999</v>
      </c>
      <c r="G259" s="128"/>
      <c r="H259" s="128"/>
      <c r="I259" s="7" t="s">
        <v>72</v>
      </c>
      <c r="J259" s="7" t="s">
        <v>420</v>
      </c>
      <c r="K259" s="405">
        <v>2024</v>
      </c>
      <c r="L259" s="406" t="s">
        <v>571</v>
      </c>
    </row>
    <row r="260" spans="1:12" x14ac:dyDescent="0.35">
      <c r="A260" s="7" t="s">
        <v>1020</v>
      </c>
      <c r="B260" s="403" t="s">
        <v>1057</v>
      </c>
      <c r="C260" s="419" t="s">
        <v>1058</v>
      </c>
      <c r="D260" s="419" t="s">
        <v>1058</v>
      </c>
      <c r="E260" s="420" t="s">
        <v>1058</v>
      </c>
      <c r="F260" s="407">
        <f>1/1000*2939.36095</f>
        <v>2.9393609499999998</v>
      </c>
      <c r="G260" s="128"/>
      <c r="H260" s="128"/>
      <c r="I260" s="7" t="s">
        <v>70</v>
      </c>
      <c r="J260" s="7" t="s">
        <v>420</v>
      </c>
      <c r="K260" s="405">
        <v>2024</v>
      </c>
      <c r="L260" s="406" t="s">
        <v>571</v>
      </c>
    </row>
    <row r="261" spans="1:12" x14ac:dyDescent="0.35">
      <c r="A261" s="7" t="s">
        <v>1020</v>
      </c>
      <c r="B261" s="7" t="s">
        <v>1059</v>
      </c>
      <c r="C261" s="421" t="s">
        <v>1059</v>
      </c>
      <c r="D261" s="421" t="s">
        <v>1059</v>
      </c>
      <c r="E261" s="422" t="s">
        <v>1059</v>
      </c>
      <c r="F261" s="412">
        <v>3.1428699999999998</v>
      </c>
      <c r="G261" s="128"/>
      <c r="H261" s="128"/>
      <c r="I261" s="7" t="s">
        <v>70</v>
      </c>
      <c r="J261" s="7" t="s">
        <v>420</v>
      </c>
      <c r="K261" s="405">
        <v>2024</v>
      </c>
      <c r="L261" s="406" t="s">
        <v>571</v>
      </c>
    </row>
    <row r="262" spans="1:12" x14ac:dyDescent="0.35">
      <c r="A262" s="7" t="s">
        <v>1020</v>
      </c>
      <c r="B262" s="403" t="s">
        <v>1060</v>
      </c>
      <c r="C262" s="419" t="s">
        <v>1060</v>
      </c>
      <c r="D262" s="419" t="s">
        <v>1060</v>
      </c>
      <c r="E262" s="420" t="s">
        <v>1060</v>
      </c>
      <c r="F262" s="407">
        <f>277.78*0.00020264</f>
        <v>5.6289339199999996E-2</v>
      </c>
      <c r="G262" s="128"/>
      <c r="H262" s="128"/>
      <c r="I262" s="7" t="s">
        <v>176</v>
      </c>
      <c r="J262" s="7" t="s">
        <v>420</v>
      </c>
      <c r="K262" s="405">
        <v>2024</v>
      </c>
      <c r="L262" s="406" t="s">
        <v>571</v>
      </c>
    </row>
    <row r="263" spans="1:12" x14ac:dyDescent="0.35">
      <c r="A263" s="7" t="s">
        <v>1020</v>
      </c>
      <c r="B263" s="403" t="s">
        <v>1061</v>
      </c>
      <c r="C263" s="419" t="s">
        <v>1061</v>
      </c>
      <c r="D263" s="419" t="s">
        <v>1061</v>
      </c>
      <c r="E263" s="420" t="s">
        <v>1061</v>
      </c>
      <c r="F263" s="407">
        <f>1000000*0.00020264</f>
        <v>202.64</v>
      </c>
      <c r="G263" s="128"/>
      <c r="H263" s="128"/>
      <c r="I263" s="7" t="s">
        <v>75</v>
      </c>
      <c r="J263" s="7" t="s">
        <v>420</v>
      </c>
      <c r="K263" s="405">
        <v>2024</v>
      </c>
      <c r="L263" s="406" t="s">
        <v>571</v>
      </c>
    </row>
    <row r="264" spans="1:12" x14ac:dyDescent="0.35">
      <c r="A264" s="7" t="s">
        <v>1020</v>
      </c>
      <c r="B264" s="7" t="s">
        <v>1062</v>
      </c>
      <c r="C264" s="421" t="s">
        <v>1062</v>
      </c>
      <c r="D264" s="421" t="s">
        <v>1062</v>
      </c>
      <c r="E264" s="422" t="s">
        <v>1062</v>
      </c>
      <c r="F264" s="412">
        <f>1/1000*0.20264</f>
        <v>2.0264E-4</v>
      </c>
      <c r="G264" s="128"/>
      <c r="H264" s="128"/>
      <c r="I264" s="7" t="s">
        <v>68</v>
      </c>
      <c r="J264" s="7" t="s">
        <v>420</v>
      </c>
      <c r="K264" s="405">
        <v>2024</v>
      </c>
      <c r="L264" s="406" t="s">
        <v>571</v>
      </c>
    </row>
    <row r="265" spans="1:12" x14ac:dyDescent="0.35">
      <c r="A265" s="7" t="s">
        <v>1020</v>
      </c>
      <c r="B265" s="7" t="s">
        <v>1063</v>
      </c>
      <c r="C265" s="421" t="s">
        <v>1063</v>
      </c>
      <c r="D265" s="421" t="s">
        <v>1063</v>
      </c>
      <c r="E265" s="422" t="s">
        <v>1063</v>
      </c>
      <c r="F265" s="412">
        <f>2.04542/1000</f>
        <v>2.0454200000000001E-3</v>
      </c>
      <c r="G265" s="128"/>
      <c r="H265" s="128"/>
      <c r="I265" s="7" t="s">
        <v>1064</v>
      </c>
      <c r="J265" s="7" t="s">
        <v>420</v>
      </c>
      <c r="K265" s="405">
        <v>2024</v>
      </c>
      <c r="L265" s="406" t="s">
        <v>571</v>
      </c>
    </row>
    <row r="266" spans="1:12" x14ac:dyDescent="0.35">
      <c r="A266" s="7" t="s">
        <v>1020</v>
      </c>
      <c r="B266" s="7" t="s">
        <v>1065</v>
      </c>
      <c r="C266" s="421" t="s">
        <v>1065</v>
      </c>
      <c r="D266" s="421" t="s">
        <v>1065</v>
      </c>
      <c r="E266" s="422" t="s">
        <v>1065</v>
      </c>
      <c r="F266" s="412">
        <v>0.20263999999999999</v>
      </c>
      <c r="G266" s="128"/>
      <c r="H266" s="128"/>
      <c r="I266" s="7" t="s">
        <v>72</v>
      </c>
      <c r="J266" s="7" t="s">
        <v>420</v>
      </c>
      <c r="K266" s="405">
        <v>2024</v>
      </c>
      <c r="L266" s="406" t="s">
        <v>571</v>
      </c>
    </row>
    <row r="267" spans="1:12" x14ac:dyDescent="0.35">
      <c r="A267" s="7" t="s">
        <v>1020</v>
      </c>
      <c r="B267" s="7" t="s">
        <v>1066</v>
      </c>
      <c r="C267" s="421" t="s">
        <v>1066</v>
      </c>
      <c r="D267" s="421" t="s">
        <v>1066</v>
      </c>
      <c r="E267" s="422" t="s">
        <v>1066</v>
      </c>
      <c r="F267" s="412">
        <f>0.2324/1000</f>
        <v>2.3239999999999998E-4</v>
      </c>
      <c r="G267" s="128"/>
      <c r="H267" s="128"/>
      <c r="I267" s="7" t="s">
        <v>68</v>
      </c>
      <c r="J267" s="7" t="s">
        <v>420</v>
      </c>
      <c r="K267" s="405">
        <v>2024</v>
      </c>
      <c r="L267" s="406" t="s">
        <v>571</v>
      </c>
    </row>
    <row r="268" spans="1:12" x14ac:dyDescent="0.35">
      <c r="A268" s="7" t="s">
        <v>1020</v>
      </c>
      <c r="B268" s="7" t="s">
        <v>1067</v>
      </c>
      <c r="C268" s="421" t="s">
        <v>1068</v>
      </c>
      <c r="D268" s="421" t="s">
        <v>1068</v>
      </c>
      <c r="E268" s="422" t="s">
        <v>1068</v>
      </c>
      <c r="F268" s="412">
        <f>2.0844/1000</f>
        <v>2.0844000000000001E-3</v>
      </c>
      <c r="G268" s="128"/>
      <c r="H268" s="128"/>
      <c r="I268" s="7" t="s">
        <v>1027</v>
      </c>
      <c r="J268" s="7" t="s">
        <v>420</v>
      </c>
      <c r="K268" s="405">
        <v>2024</v>
      </c>
      <c r="L268" s="406" t="s">
        <v>571</v>
      </c>
    </row>
    <row r="269" spans="1:12" x14ac:dyDescent="0.35">
      <c r="A269" s="7" t="s">
        <v>1020</v>
      </c>
      <c r="B269" s="7" t="s">
        <v>1069</v>
      </c>
      <c r="C269" s="421" t="s">
        <v>1069</v>
      </c>
      <c r="D269" s="421" t="s">
        <v>1069</v>
      </c>
      <c r="E269" s="422" t="s">
        <v>1069</v>
      </c>
      <c r="F269" s="412">
        <f>0.2324/1000*1000</f>
        <v>0.2324</v>
      </c>
      <c r="G269" s="128"/>
      <c r="H269" s="128"/>
      <c r="I269" s="7" t="s">
        <v>72</v>
      </c>
      <c r="J269" s="7" t="s">
        <v>420</v>
      </c>
      <c r="K269" s="405">
        <v>2024</v>
      </c>
      <c r="L269" s="406" t="s">
        <v>571</v>
      </c>
    </row>
    <row r="270" spans="1:12" x14ac:dyDescent="0.35">
      <c r="A270" s="7" t="s">
        <v>1020</v>
      </c>
      <c r="B270" s="7" t="s">
        <v>1070</v>
      </c>
      <c r="C270" s="421" t="s">
        <v>1070</v>
      </c>
      <c r="D270" s="421" t="s">
        <v>1070</v>
      </c>
      <c r="E270" s="422" t="s">
        <v>1070</v>
      </c>
      <c r="F270" s="412">
        <f>2778.52935/1000</f>
        <v>2.7785293499999999</v>
      </c>
      <c r="G270" s="128"/>
      <c r="H270" s="128"/>
      <c r="I270" s="7" t="s">
        <v>70</v>
      </c>
      <c r="J270" s="7" t="s">
        <v>420</v>
      </c>
      <c r="K270" s="405">
        <v>2024</v>
      </c>
      <c r="L270" s="406" t="s">
        <v>571</v>
      </c>
    </row>
    <row r="271" spans="1:12" x14ac:dyDescent="0.35">
      <c r="A271" s="7" t="s">
        <v>1020</v>
      </c>
      <c r="B271" s="7" t="s">
        <v>1071</v>
      </c>
      <c r="C271" s="421" t="s">
        <v>1071</v>
      </c>
      <c r="D271" s="421" t="s">
        <v>1071</v>
      </c>
      <c r="E271" s="422" t="s">
        <v>1071</v>
      </c>
      <c r="F271" s="412">
        <v>232.57</v>
      </c>
      <c r="G271" s="128"/>
      <c r="H271" s="128"/>
      <c r="I271" s="7" t="s">
        <v>75</v>
      </c>
      <c r="J271" s="7" t="s">
        <v>420</v>
      </c>
      <c r="K271" s="405">
        <v>2024</v>
      </c>
      <c r="L271" s="406" t="s">
        <v>571</v>
      </c>
    </row>
    <row r="272" spans="1:12" x14ac:dyDescent="0.35">
      <c r="A272" s="7" t="s">
        <v>1020</v>
      </c>
      <c r="B272" s="7" t="s">
        <v>1072</v>
      </c>
      <c r="C272" s="421" t="s">
        <v>1072</v>
      </c>
      <c r="D272" s="421" t="s">
        <v>1072</v>
      </c>
      <c r="E272" s="422" t="s">
        <v>1072</v>
      </c>
      <c r="F272" s="412">
        <v>2.3257E-4</v>
      </c>
      <c r="G272" s="128"/>
      <c r="H272" s="128"/>
      <c r="I272" s="7" t="s">
        <v>68</v>
      </c>
      <c r="J272" s="7" t="s">
        <v>420</v>
      </c>
      <c r="K272" s="405">
        <v>2024</v>
      </c>
      <c r="L272" s="406" t="s">
        <v>571</v>
      </c>
    </row>
    <row r="273" spans="1:12" x14ac:dyDescent="0.35">
      <c r="A273" s="7" t="s">
        <v>1020</v>
      </c>
      <c r="B273" s="7" t="s">
        <v>1073</v>
      </c>
      <c r="C273" s="421" t="s">
        <v>1074</v>
      </c>
      <c r="D273" s="421" t="s">
        <v>1074</v>
      </c>
      <c r="E273" s="422" t="s">
        <v>1074</v>
      </c>
      <c r="F273" s="412">
        <v>1.5399999999999999E-3</v>
      </c>
      <c r="G273" s="128"/>
      <c r="H273" s="128"/>
      <c r="I273" s="7" t="s">
        <v>1027</v>
      </c>
      <c r="J273" s="7" t="s">
        <v>420</v>
      </c>
      <c r="K273" s="405">
        <v>2024</v>
      </c>
      <c r="L273" s="406" t="s">
        <v>571</v>
      </c>
    </row>
    <row r="274" spans="1:12" x14ac:dyDescent="0.35">
      <c r="A274" s="7" t="s">
        <v>1020</v>
      </c>
      <c r="B274" s="7" t="s">
        <v>1075</v>
      </c>
      <c r="C274" s="421" t="s">
        <v>1075</v>
      </c>
      <c r="D274" s="421" t="s">
        <v>1075</v>
      </c>
      <c r="E274" s="422" t="s">
        <v>1075</v>
      </c>
      <c r="F274" s="412">
        <v>0.23257</v>
      </c>
      <c r="G274" s="128"/>
      <c r="H274" s="128"/>
      <c r="I274" s="7" t="s">
        <v>72</v>
      </c>
      <c r="J274" s="7" t="s">
        <v>420</v>
      </c>
      <c r="K274" s="405">
        <v>2024</v>
      </c>
      <c r="L274" s="406" t="s">
        <v>571</v>
      </c>
    </row>
    <row r="275" spans="1:12" x14ac:dyDescent="0.35">
      <c r="A275" s="7" t="s">
        <v>1020</v>
      </c>
      <c r="B275" s="7" t="s">
        <v>1076</v>
      </c>
      <c r="C275" s="421" t="s">
        <v>1077</v>
      </c>
      <c r="D275" s="421" t="s">
        <v>1077</v>
      </c>
      <c r="E275" s="422" t="s">
        <v>1077</v>
      </c>
      <c r="F275" s="412">
        <v>2.9975500000000004</v>
      </c>
      <c r="G275" s="128"/>
      <c r="H275" s="128"/>
      <c r="I275" s="7" t="s">
        <v>70</v>
      </c>
      <c r="J275" s="7" t="s">
        <v>420</v>
      </c>
      <c r="K275" s="405">
        <v>2024</v>
      </c>
      <c r="L275" s="406" t="s">
        <v>571</v>
      </c>
    </row>
    <row r="276" spans="1:12" x14ac:dyDescent="0.35">
      <c r="A276" s="7" t="s">
        <v>1078</v>
      </c>
      <c r="B276" s="7" t="s">
        <v>1079</v>
      </c>
      <c r="C276" s="421" t="s">
        <v>1079</v>
      </c>
      <c r="D276" s="421" t="s">
        <v>1079</v>
      </c>
      <c r="E276" s="422" t="s">
        <v>1079</v>
      </c>
      <c r="F276" s="412">
        <v>4.7425379399999988E-2</v>
      </c>
      <c r="G276" s="128"/>
      <c r="H276" s="128"/>
      <c r="I276" s="7" t="s">
        <v>176</v>
      </c>
      <c r="J276" s="7" t="s">
        <v>420</v>
      </c>
      <c r="K276" s="405">
        <v>2024</v>
      </c>
      <c r="L276" s="406" t="s">
        <v>571</v>
      </c>
    </row>
    <row r="277" spans="1:12" x14ac:dyDescent="0.35">
      <c r="A277" s="7" t="s">
        <v>1078</v>
      </c>
      <c r="B277" s="7" t="s">
        <v>1080</v>
      </c>
      <c r="C277" s="421" t="s">
        <v>1080</v>
      </c>
      <c r="D277" s="421" t="s">
        <v>1080</v>
      </c>
      <c r="E277" s="422" t="s">
        <v>1080</v>
      </c>
      <c r="F277" s="412">
        <v>1.7072999999999999E-4</v>
      </c>
      <c r="G277" s="128"/>
      <c r="H277" s="128"/>
      <c r="I277" s="7" t="s">
        <v>68</v>
      </c>
      <c r="J277" s="7" t="s">
        <v>420</v>
      </c>
      <c r="K277" s="405">
        <v>2024</v>
      </c>
      <c r="L277" s="406" t="s">
        <v>571</v>
      </c>
    </row>
    <row r="278" spans="1:12" x14ac:dyDescent="0.35">
      <c r="A278" s="7" t="s">
        <v>1078</v>
      </c>
      <c r="B278" s="7" t="s">
        <v>1081</v>
      </c>
      <c r="C278" s="421" t="s">
        <v>1081</v>
      </c>
      <c r="D278" s="421" t="s">
        <v>1081</v>
      </c>
      <c r="E278" s="422" t="s">
        <v>1081</v>
      </c>
      <c r="F278" s="412">
        <v>0.17072999999999999</v>
      </c>
      <c r="G278" s="128"/>
      <c r="H278" s="128"/>
      <c r="I278" s="7" t="s">
        <v>72</v>
      </c>
      <c r="J278" s="7" t="s">
        <v>420</v>
      </c>
      <c r="K278" s="405">
        <v>2024</v>
      </c>
      <c r="L278" s="406" t="s">
        <v>571</v>
      </c>
    </row>
    <row r="279" spans="1:12" x14ac:dyDescent="0.35">
      <c r="A279" s="7" t="s">
        <v>1082</v>
      </c>
      <c r="B279" s="403" t="s">
        <v>1083</v>
      </c>
      <c r="C279" s="419" t="s">
        <v>1084</v>
      </c>
      <c r="D279" s="419" t="s">
        <v>1083</v>
      </c>
      <c r="E279" s="420" t="s">
        <v>1085</v>
      </c>
      <c r="F279" s="404">
        <f>G279*28</f>
        <v>0.94331999999999994</v>
      </c>
      <c r="G279" s="320">
        <v>3.3689999999999998E-2</v>
      </c>
      <c r="H279" s="320"/>
      <c r="I279" s="7" t="s">
        <v>487</v>
      </c>
      <c r="J279" s="7" t="s">
        <v>420</v>
      </c>
      <c r="K279" s="405">
        <v>2022</v>
      </c>
      <c r="L279" s="406" t="s">
        <v>479</v>
      </c>
    </row>
    <row r="280" spans="1:12" x14ac:dyDescent="0.35">
      <c r="A280" s="7" t="s">
        <v>1082</v>
      </c>
      <c r="B280" s="403" t="s">
        <v>1086</v>
      </c>
      <c r="C280" s="419" t="s">
        <v>1086</v>
      </c>
      <c r="D280" s="419" t="s">
        <v>1086</v>
      </c>
      <c r="E280" s="420" t="s">
        <v>1087</v>
      </c>
      <c r="F280" s="404">
        <f t="shared" ref="F280:F302" si="5">G280*28</f>
        <v>0.58267999999999998</v>
      </c>
      <c r="G280" s="408">
        <f>20.81/1000</f>
        <v>2.0809999999999999E-2</v>
      </c>
      <c r="H280" s="320"/>
      <c r="I280" s="7" t="s">
        <v>487</v>
      </c>
      <c r="J280" s="7" t="s">
        <v>420</v>
      </c>
      <c r="K280" s="405">
        <v>2022</v>
      </c>
      <c r="L280" s="406" t="s">
        <v>479</v>
      </c>
    </row>
    <row r="281" spans="1:12" x14ac:dyDescent="0.35">
      <c r="A281" s="7" t="s">
        <v>1082</v>
      </c>
      <c r="B281" s="403" t="s">
        <v>1088</v>
      </c>
      <c r="C281" s="419" t="s">
        <v>1088</v>
      </c>
      <c r="D281" s="419" t="s">
        <v>1088</v>
      </c>
      <c r="E281" s="420" t="s">
        <v>1089</v>
      </c>
      <c r="F281" s="404">
        <f t="shared" si="5"/>
        <v>0.38808000000000004</v>
      </c>
      <c r="G281" s="320">
        <v>1.3860000000000001E-2</v>
      </c>
      <c r="H281" s="320"/>
      <c r="I281" s="7" t="s">
        <v>487</v>
      </c>
      <c r="J281" s="7" t="s">
        <v>420</v>
      </c>
      <c r="K281" s="405">
        <v>2022</v>
      </c>
      <c r="L281" s="406" t="s">
        <v>479</v>
      </c>
    </row>
    <row r="282" spans="1:12" x14ac:dyDescent="0.35">
      <c r="A282" s="7" t="s">
        <v>1082</v>
      </c>
      <c r="B282" s="403" t="s">
        <v>1090</v>
      </c>
      <c r="C282" s="419" t="s">
        <v>1091</v>
      </c>
      <c r="D282" s="419" t="s">
        <v>1090</v>
      </c>
      <c r="E282" s="420" t="s">
        <v>1092</v>
      </c>
      <c r="F282" s="404">
        <f t="shared" si="5"/>
        <v>3.6400000000000004E-3</v>
      </c>
      <c r="G282" s="320">
        <v>1.3000000000000002E-4</v>
      </c>
      <c r="H282" s="320"/>
      <c r="I282" s="7" t="s">
        <v>487</v>
      </c>
      <c r="J282" s="7" t="s">
        <v>420</v>
      </c>
      <c r="K282" s="405">
        <v>2022</v>
      </c>
      <c r="L282" s="406" t="s">
        <v>479</v>
      </c>
    </row>
    <row r="283" spans="1:12" x14ac:dyDescent="0.35">
      <c r="A283" s="7" t="s">
        <v>1082</v>
      </c>
      <c r="B283" s="403" t="s">
        <v>1093</v>
      </c>
      <c r="C283" s="419" t="s">
        <v>1093</v>
      </c>
      <c r="D283" s="419" t="s">
        <v>1093</v>
      </c>
      <c r="E283" s="420" t="s">
        <v>1094</v>
      </c>
      <c r="F283" s="404">
        <f t="shared" si="5"/>
        <v>3.6400000000000004E-3</v>
      </c>
      <c r="G283" s="320">
        <v>1.3000000000000002E-4</v>
      </c>
      <c r="H283" s="320"/>
      <c r="I283" s="7" t="s">
        <v>487</v>
      </c>
      <c r="J283" s="7" t="s">
        <v>420</v>
      </c>
      <c r="K283" s="405">
        <v>2022</v>
      </c>
      <c r="L283" s="406" t="s">
        <v>479</v>
      </c>
    </row>
    <row r="284" spans="1:12" x14ac:dyDescent="0.35">
      <c r="A284" s="7" t="s">
        <v>1082</v>
      </c>
      <c r="B284" s="403" t="s">
        <v>1095</v>
      </c>
      <c r="C284" s="419" t="s">
        <v>1095</v>
      </c>
      <c r="D284" s="419" t="s">
        <v>1095</v>
      </c>
      <c r="E284" s="420" t="s">
        <v>1096</v>
      </c>
      <c r="F284" s="404">
        <f t="shared" si="5"/>
        <v>3.6400000000000004E-3</v>
      </c>
      <c r="G284" s="320">
        <v>1.3000000000000002E-4</v>
      </c>
      <c r="H284" s="320"/>
      <c r="I284" s="7" t="s">
        <v>487</v>
      </c>
      <c r="J284" s="7" t="s">
        <v>420</v>
      </c>
      <c r="K284" s="405">
        <v>2022</v>
      </c>
      <c r="L284" s="406" t="s">
        <v>479</v>
      </c>
    </row>
    <row r="285" spans="1:12" x14ac:dyDescent="0.35">
      <c r="A285" s="7" t="s">
        <v>1082</v>
      </c>
      <c r="B285" s="403" t="s">
        <v>1097</v>
      </c>
      <c r="C285" s="419" t="s">
        <v>1098</v>
      </c>
      <c r="D285" s="419" t="s">
        <v>1097</v>
      </c>
      <c r="E285" s="420" t="s">
        <v>1099</v>
      </c>
      <c r="F285" s="404">
        <f t="shared" si="5"/>
        <v>4.3679999999999997E-2</v>
      </c>
      <c r="G285" s="320">
        <v>1.56E-3</v>
      </c>
      <c r="H285" s="320"/>
      <c r="I285" s="7" t="s">
        <v>487</v>
      </c>
      <c r="J285" s="7" t="s">
        <v>420</v>
      </c>
      <c r="K285" s="405">
        <v>2022</v>
      </c>
      <c r="L285" s="406" t="s">
        <v>479</v>
      </c>
    </row>
    <row r="286" spans="1:12" x14ac:dyDescent="0.35">
      <c r="A286" s="7" t="s">
        <v>1082</v>
      </c>
      <c r="B286" s="403" t="s">
        <v>1100</v>
      </c>
      <c r="C286" s="419" t="s">
        <v>1100</v>
      </c>
      <c r="D286" s="419" t="s">
        <v>1100</v>
      </c>
      <c r="E286" s="420" t="s">
        <v>1101</v>
      </c>
      <c r="F286" s="404">
        <f t="shared" si="5"/>
        <v>4.3679999999999997E-2</v>
      </c>
      <c r="G286" s="320">
        <v>1.56E-3</v>
      </c>
      <c r="H286" s="320"/>
      <c r="I286" s="7" t="s">
        <v>487</v>
      </c>
      <c r="J286" s="7" t="s">
        <v>420</v>
      </c>
      <c r="K286" s="405">
        <v>2022</v>
      </c>
      <c r="L286" s="406" t="s">
        <v>479</v>
      </c>
    </row>
    <row r="287" spans="1:12" x14ac:dyDescent="0.35">
      <c r="A287" s="7" t="s">
        <v>1082</v>
      </c>
      <c r="B287" s="403" t="s">
        <v>1102</v>
      </c>
      <c r="C287" s="419" t="s">
        <v>1102</v>
      </c>
      <c r="D287" s="419" t="s">
        <v>1102</v>
      </c>
      <c r="E287" s="420" t="s">
        <v>1103</v>
      </c>
      <c r="F287" s="404">
        <f t="shared" si="5"/>
        <v>4.3679999999999997E-2</v>
      </c>
      <c r="G287" s="320">
        <v>1.56E-3</v>
      </c>
      <c r="H287" s="320"/>
      <c r="I287" s="7" t="s">
        <v>487</v>
      </c>
      <c r="J287" s="7" t="s">
        <v>420</v>
      </c>
      <c r="K287" s="405">
        <v>2022</v>
      </c>
      <c r="L287" s="406" t="s">
        <v>479</v>
      </c>
    </row>
    <row r="288" spans="1:12" x14ac:dyDescent="0.35">
      <c r="A288" s="7" t="s">
        <v>1082</v>
      </c>
      <c r="B288" s="403" t="s">
        <v>1104</v>
      </c>
      <c r="C288" s="419" t="s">
        <v>1105</v>
      </c>
      <c r="D288" s="419" t="s">
        <v>1104</v>
      </c>
      <c r="E288" s="420" t="s">
        <v>1106</v>
      </c>
      <c r="F288" s="404">
        <f t="shared" si="5"/>
        <v>0.53144000000000002</v>
      </c>
      <c r="G288" s="320">
        <v>1.898E-2</v>
      </c>
      <c r="H288" s="320"/>
      <c r="I288" s="7" t="s">
        <v>487</v>
      </c>
      <c r="J288" s="7" t="s">
        <v>420</v>
      </c>
      <c r="K288" s="405">
        <v>2022</v>
      </c>
      <c r="L288" s="406" t="s">
        <v>479</v>
      </c>
    </row>
    <row r="289" spans="1:12" x14ac:dyDescent="0.35">
      <c r="A289" s="7" t="s">
        <v>1082</v>
      </c>
      <c r="B289" s="403" t="s">
        <v>1107</v>
      </c>
      <c r="C289" s="419" t="s">
        <v>1107</v>
      </c>
      <c r="D289" s="419" t="s">
        <v>1107</v>
      </c>
      <c r="E289" s="420" t="s">
        <v>1108</v>
      </c>
      <c r="F289" s="404">
        <f t="shared" si="5"/>
        <v>5.6559999999999999E-2</v>
      </c>
      <c r="G289" s="320">
        <v>2.0200000000000001E-3</v>
      </c>
      <c r="H289" s="320"/>
      <c r="I289" s="7" t="s">
        <v>487</v>
      </c>
      <c r="J289" s="7" t="s">
        <v>420</v>
      </c>
      <c r="K289" s="405">
        <v>2022</v>
      </c>
      <c r="L289" s="406" t="s">
        <v>479</v>
      </c>
    </row>
    <row r="290" spans="1:12" x14ac:dyDescent="0.35">
      <c r="A290" s="7" t="s">
        <v>1082</v>
      </c>
      <c r="B290" s="403" t="s">
        <v>1109</v>
      </c>
      <c r="C290" s="419" t="s">
        <v>1109</v>
      </c>
      <c r="D290" s="419" t="s">
        <v>1109</v>
      </c>
      <c r="E290" s="420" t="s">
        <v>1110</v>
      </c>
      <c r="F290" s="404">
        <f t="shared" si="5"/>
        <v>0.25228</v>
      </c>
      <c r="G290" s="320">
        <v>9.0100000000000006E-3</v>
      </c>
      <c r="H290" s="320"/>
      <c r="I290" s="7" t="s">
        <v>487</v>
      </c>
      <c r="J290" s="7" t="s">
        <v>420</v>
      </c>
      <c r="K290" s="405">
        <v>2022</v>
      </c>
      <c r="L290" s="406" t="s">
        <v>479</v>
      </c>
    </row>
    <row r="291" spans="1:12" x14ac:dyDescent="0.35">
      <c r="A291" s="7" t="s">
        <v>1082</v>
      </c>
      <c r="B291" s="403" t="s">
        <v>1111</v>
      </c>
      <c r="C291" s="419" t="s">
        <v>1112</v>
      </c>
      <c r="D291" s="419" t="s">
        <v>1111</v>
      </c>
      <c r="E291" s="420" t="s">
        <v>1113</v>
      </c>
      <c r="F291" s="404">
        <f t="shared" si="5"/>
        <v>5.6000000000000006E-4</v>
      </c>
      <c r="G291" s="320">
        <v>2.0000000000000002E-5</v>
      </c>
      <c r="H291" s="320"/>
      <c r="I291" s="7" t="s">
        <v>487</v>
      </c>
      <c r="J291" s="7" t="s">
        <v>420</v>
      </c>
      <c r="K291" s="405">
        <v>2022</v>
      </c>
      <c r="L291" s="406" t="s">
        <v>479</v>
      </c>
    </row>
    <row r="292" spans="1:12" x14ac:dyDescent="0.35">
      <c r="A292" s="7" t="s">
        <v>1082</v>
      </c>
      <c r="B292" s="403" t="s">
        <v>1114</v>
      </c>
      <c r="C292" s="419" t="s">
        <v>1114</v>
      </c>
      <c r="D292" s="419" t="s">
        <v>1114</v>
      </c>
      <c r="E292" s="420" t="s">
        <v>1115</v>
      </c>
      <c r="F292" s="404">
        <f t="shared" si="5"/>
        <v>5.6000000000000006E-4</v>
      </c>
      <c r="G292" s="320">
        <v>2.0000000000000002E-5</v>
      </c>
      <c r="H292" s="320"/>
      <c r="I292" s="7" t="s">
        <v>487</v>
      </c>
      <c r="J292" s="7" t="s">
        <v>420</v>
      </c>
      <c r="K292" s="405">
        <v>2022</v>
      </c>
      <c r="L292" s="406" t="s">
        <v>479</v>
      </c>
    </row>
    <row r="293" spans="1:12" x14ac:dyDescent="0.35">
      <c r="A293" s="7" t="s">
        <v>1082</v>
      </c>
      <c r="B293" s="403" t="s">
        <v>1116</v>
      </c>
      <c r="C293" s="419" t="s">
        <v>1116</v>
      </c>
      <c r="D293" s="419" t="s">
        <v>1116</v>
      </c>
      <c r="E293" s="420" t="s">
        <v>1117</v>
      </c>
      <c r="F293" s="404">
        <f t="shared" si="5"/>
        <v>5.6000000000000006E-4</v>
      </c>
      <c r="G293" s="320">
        <v>2.0000000000000002E-5</v>
      </c>
      <c r="H293" s="320"/>
      <c r="I293" s="7" t="s">
        <v>487</v>
      </c>
      <c r="J293" s="7" t="s">
        <v>420</v>
      </c>
      <c r="K293" s="405">
        <v>2022</v>
      </c>
      <c r="L293" s="406" t="s">
        <v>479</v>
      </c>
    </row>
    <row r="294" spans="1:12" x14ac:dyDescent="0.35">
      <c r="A294" s="7" t="s">
        <v>1082</v>
      </c>
      <c r="B294" s="403" t="s">
        <v>1118</v>
      </c>
      <c r="C294" s="419" t="s">
        <v>1119</v>
      </c>
      <c r="D294" s="419" t="s">
        <v>1118</v>
      </c>
      <c r="E294" s="420" t="s">
        <v>1120</v>
      </c>
      <c r="F294" s="404">
        <f t="shared" si="5"/>
        <v>2.2400000000000002E-3</v>
      </c>
      <c r="G294" s="320">
        <v>8.0000000000000007E-5</v>
      </c>
      <c r="H294" s="320"/>
      <c r="I294" s="7" t="s">
        <v>487</v>
      </c>
      <c r="J294" s="7" t="s">
        <v>420</v>
      </c>
      <c r="K294" s="405">
        <v>2022</v>
      </c>
      <c r="L294" s="406" t="s">
        <v>479</v>
      </c>
    </row>
    <row r="295" spans="1:12" x14ac:dyDescent="0.35">
      <c r="A295" s="7" t="s">
        <v>1082</v>
      </c>
      <c r="B295" s="403" t="s">
        <v>1121</v>
      </c>
      <c r="C295" s="419" t="s">
        <v>1121</v>
      </c>
      <c r="D295" s="419" t="s">
        <v>1121</v>
      </c>
      <c r="E295" s="420" t="s">
        <v>1122</v>
      </c>
      <c r="F295" s="404">
        <f t="shared" si="5"/>
        <v>2.2400000000000002E-3</v>
      </c>
      <c r="G295" s="320">
        <v>8.0000000000000007E-5</v>
      </c>
      <c r="H295" s="320"/>
      <c r="I295" s="7" t="s">
        <v>487</v>
      </c>
      <c r="J295" s="7" t="s">
        <v>420</v>
      </c>
      <c r="K295" s="405">
        <v>2022</v>
      </c>
      <c r="L295" s="406" t="s">
        <v>479</v>
      </c>
    </row>
    <row r="296" spans="1:12" x14ac:dyDescent="0.35">
      <c r="A296" s="7" t="s">
        <v>1082</v>
      </c>
      <c r="B296" s="403" t="s">
        <v>1123</v>
      </c>
      <c r="C296" s="419" t="s">
        <v>1123</v>
      </c>
      <c r="D296" s="419" t="s">
        <v>1123</v>
      </c>
      <c r="E296" s="420" t="s">
        <v>1124</v>
      </c>
      <c r="F296" s="404">
        <f t="shared" si="5"/>
        <v>2.2400000000000002E-3</v>
      </c>
      <c r="G296" s="320">
        <v>8.0000000000000007E-5</v>
      </c>
      <c r="H296" s="320"/>
      <c r="I296" s="7" t="s">
        <v>487</v>
      </c>
      <c r="J296" s="7" t="s">
        <v>420</v>
      </c>
      <c r="K296" s="405">
        <v>2022</v>
      </c>
      <c r="L296" s="406" t="s">
        <v>479</v>
      </c>
    </row>
    <row r="297" spans="1:12" x14ac:dyDescent="0.35">
      <c r="A297" s="7" t="s">
        <v>1082</v>
      </c>
      <c r="B297" s="403" t="s">
        <v>1125</v>
      </c>
      <c r="C297" s="419" t="s">
        <v>1126</v>
      </c>
      <c r="D297" s="419" t="s">
        <v>1125</v>
      </c>
      <c r="E297" s="420" t="s">
        <v>1127</v>
      </c>
      <c r="F297" s="404">
        <f t="shared" si="5"/>
        <v>5.3200000000000001E-3</v>
      </c>
      <c r="G297" s="320">
        <v>1.9000000000000001E-4</v>
      </c>
      <c r="H297" s="320"/>
      <c r="I297" s="7" t="s">
        <v>487</v>
      </c>
      <c r="J297" s="7" t="s">
        <v>420</v>
      </c>
      <c r="K297" s="405">
        <v>2022</v>
      </c>
      <c r="L297" s="406" t="s">
        <v>479</v>
      </c>
    </row>
    <row r="298" spans="1:12" x14ac:dyDescent="0.35">
      <c r="A298" s="7" t="s">
        <v>1082</v>
      </c>
      <c r="B298" s="403" t="s">
        <v>1128</v>
      </c>
      <c r="C298" s="419" t="s">
        <v>1128</v>
      </c>
      <c r="D298" s="419" t="s">
        <v>1128</v>
      </c>
      <c r="E298" s="420" t="s">
        <v>1129</v>
      </c>
      <c r="F298" s="404">
        <f t="shared" si="5"/>
        <v>5.3200000000000001E-3</v>
      </c>
      <c r="G298" s="320">
        <v>1.9000000000000001E-4</v>
      </c>
      <c r="H298" s="320"/>
      <c r="I298" s="7" t="s">
        <v>487</v>
      </c>
      <c r="J298" s="7" t="s">
        <v>420</v>
      </c>
      <c r="K298" s="405">
        <v>2022</v>
      </c>
      <c r="L298" s="406" t="s">
        <v>479</v>
      </c>
    </row>
    <row r="299" spans="1:12" x14ac:dyDescent="0.35">
      <c r="A299" s="7" t="s">
        <v>1082</v>
      </c>
      <c r="B299" s="403" t="s">
        <v>1130</v>
      </c>
      <c r="C299" s="419" t="s">
        <v>1130</v>
      </c>
      <c r="D299" s="419" t="s">
        <v>1130</v>
      </c>
      <c r="E299" s="420" t="s">
        <v>1131</v>
      </c>
      <c r="F299" s="404">
        <f t="shared" si="5"/>
        <v>1.1480000000000001E-2</v>
      </c>
      <c r="G299" s="320">
        <v>4.0999999999999999E-4</v>
      </c>
      <c r="H299" s="320"/>
      <c r="I299" s="7" t="s">
        <v>487</v>
      </c>
      <c r="J299" s="7" t="s">
        <v>420</v>
      </c>
      <c r="K299" s="405">
        <v>2022</v>
      </c>
      <c r="L299" s="406" t="s">
        <v>479</v>
      </c>
    </row>
    <row r="300" spans="1:12" x14ac:dyDescent="0.35">
      <c r="A300" s="7" t="s">
        <v>1082</v>
      </c>
      <c r="B300" s="403" t="s">
        <v>1132</v>
      </c>
      <c r="C300" s="419" t="s">
        <v>1133</v>
      </c>
      <c r="D300" s="419" t="s">
        <v>1132</v>
      </c>
      <c r="E300" s="420" t="s">
        <v>1134</v>
      </c>
      <c r="F300" s="404">
        <f t="shared" si="5"/>
        <v>0.15623999999999999</v>
      </c>
      <c r="G300" s="320">
        <v>5.5799999999999999E-3</v>
      </c>
      <c r="H300" s="320"/>
      <c r="I300" s="7" t="s">
        <v>487</v>
      </c>
      <c r="J300" s="7" t="s">
        <v>420</v>
      </c>
      <c r="K300" s="405">
        <v>2022</v>
      </c>
      <c r="L300" s="406" t="s">
        <v>479</v>
      </c>
    </row>
    <row r="301" spans="1:12" x14ac:dyDescent="0.35">
      <c r="A301" s="7" t="s">
        <v>1082</v>
      </c>
      <c r="B301" s="403" t="s">
        <v>1135</v>
      </c>
      <c r="C301" s="419" t="s">
        <v>1135</v>
      </c>
      <c r="D301" s="419" t="s">
        <v>1135</v>
      </c>
      <c r="E301" s="420" t="s">
        <v>1136</v>
      </c>
      <c r="F301" s="404">
        <f>G301*28</f>
        <v>6.132E-2</v>
      </c>
      <c r="G301" s="320">
        <v>2.1900000000000001E-3</v>
      </c>
      <c r="H301" s="320"/>
      <c r="I301" s="7" t="s">
        <v>487</v>
      </c>
      <c r="J301" s="7" t="s">
        <v>420</v>
      </c>
      <c r="K301" s="405">
        <v>2022</v>
      </c>
      <c r="L301" s="406" t="s">
        <v>479</v>
      </c>
    </row>
    <row r="302" spans="1:12" x14ac:dyDescent="0.35">
      <c r="A302" s="7" t="s">
        <v>1082</v>
      </c>
      <c r="B302" s="403" t="s">
        <v>1137</v>
      </c>
      <c r="C302" s="419" t="s">
        <v>1137</v>
      </c>
      <c r="D302" s="419" t="s">
        <v>1137</v>
      </c>
      <c r="E302" s="420" t="s">
        <v>1138</v>
      </c>
      <c r="F302" s="404">
        <f t="shared" si="5"/>
        <v>7.3079999999999992E-2</v>
      </c>
      <c r="G302" s="320">
        <v>2.6099999999999999E-3</v>
      </c>
      <c r="H302" s="320"/>
      <c r="I302" s="7" t="s">
        <v>487</v>
      </c>
      <c r="J302" s="7" t="s">
        <v>420</v>
      </c>
      <c r="K302" s="405">
        <v>2022</v>
      </c>
      <c r="L302" s="406" t="s">
        <v>479</v>
      </c>
    </row>
    <row r="303" spans="1:12" x14ac:dyDescent="0.35">
      <c r="A303" s="7" t="s">
        <v>1139</v>
      </c>
      <c r="B303" s="403" t="s">
        <v>1430</v>
      </c>
      <c r="C303" s="419" t="s">
        <v>1140</v>
      </c>
      <c r="D303" s="419" t="s">
        <v>1140</v>
      </c>
      <c r="E303" s="420" t="s">
        <v>1140</v>
      </c>
      <c r="F303" s="407">
        <f>0.87296/1000</f>
        <v>8.7295999999999999E-4</v>
      </c>
      <c r="G303" s="128"/>
      <c r="H303" s="128"/>
      <c r="I303" s="7" t="s">
        <v>117</v>
      </c>
      <c r="J303" s="7" t="s">
        <v>420</v>
      </c>
      <c r="K303" s="405">
        <v>2024</v>
      </c>
      <c r="L303" s="406" t="s">
        <v>571</v>
      </c>
    </row>
    <row r="304" spans="1:12" x14ac:dyDescent="0.35">
      <c r="A304" s="7" t="s">
        <v>1139</v>
      </c>
      <c r="B304" s="403" t="s">
        <v>1141</v>
      </c>
      <c r="C304" s="419" t="s">
        <v>1142</v>
      </c>
      <c r="D304" s="419" t="s">
        <v>1142</v>
      </c>
      <c r="E304" s="420" t="s">
        <v>1142</v>
      </c>
      <c r="F304" s="407">
        <v>1.7516999999999999E-4</v>
      </c>
      <c r="G304" s="128"/>
      <c r="H304" s="128"/>
      <c r="I304" s="7" t="s">
        <v>117</v>
      </c>
      <c r="J304" s="7" t="s">
        <v>420</v>
      </c>
      <c r="K304" s="405">
        <v>2024</v>
      </c>
      <c r="L304" s="406" t="s">
        <v>571</v>
      </c>
    </row>
    <row r="305" spans="1:12" x14ac:dyDescent="0.35">
      <c r="A305" s="7" t="s">
        <v>1139</v>
      </c>
      <c r="B305" s="403" t="s">
        <v>1143</v>
      </c>
      <c r="C305" s="419" t="s">
        <v>1144</v>
      </c>
      <c r="D305" s="419" t="s">
        <v>1144</v>
      </c>
      <c r="E305" s="420" t="s">
        <v>1144</v>
      </c>
      <c r="F305" s="407">
        <v>1.7082414000000001E-4</v>
      </c>
      <c r="G305" s="128"/>
      <c r="H305" s="128"/>
      <c r="I305" s="7" t="s">
        <v>117</v>
      </c>
      <c r="J305" s="7" t="s">
        <v>420</v>
      </c>
      <c r="K305" s="405">
        <v>2024</v>
      </c>
      <c r="L305" s="406" t="s">
        <v>571</v>
      </c>
    </row>
    <row r="306" spans="1:12" x14ac:dyDescent="0.35">
      <c r="A306" s="7" t="s">
        <v>1139</v>
      </c>
      <c r="B306" s="403" t="s">
        <v>1145</v>
      </c>
      <c r="C306" s="419" t="s">
        <v>1146</v>
      </c>
      <c r="D306" s="419" t="s">
        <v>1146</v>
      </c>
      <c r="E306" s="420" t="s">
        <v>1146</v>
      </c>
      <c r="F306" s="407">
        <v>1.9774999999999998E-4</v>
      </c>
      <c r="G306" s="128"/>
      <c r="H306" s="128"/>
      <c r="I306" s="7" t="s">
        <v>117</v>
      </c>
      <c r="J306" s="7" t="s">
        <v>420</v>
      </c>
      <c r="K306" s="405">
        <v>2024</v>
      </c>
      <c r="L306" s="406" t="s">
        <v>571</v>
      </c>
    </row>
    <row r="307" spans="1:12" x14ac:dyDescent="0.35">
      <c r="A307" s="7" t="s">
        <v>1139</v>
      </c>
      <c r="B307" s="403" t="s">
        <v>1147</v>
      </c>
      <c r="C307" s="419" t="s">
        <v>1148</v>
      </c>
      <c r="D307" s="419" t="s">
        <v>1148</v>
      </c>
      <c r="E307" s="420" t="s">
        <v>1148</v>
      </c>
      <c r="F307" s="407">
        <v>1.7047999999999998E-4</v>
      </c>
      <c r="G307" s="128"/>
      <c r="H307" s="128"/>
      <c r="I307" s="7" t="s">
        <v>117</v>
      </c>
      <c r="J307" s="7" t="s">
        <v>420</v>
      </c>
      <c r="K307" s="405">
        <v>2024</v>
      </c>
      <c r="L307" s="406" t="s">
        <v>571</v>
      </c>
    </row>
    <row r="308" spans="1:12" x14ac:dyDescent="0.35">
      <c r="A308" s="7" t="s">
        <v>1139</v>
      </c>
      <c r="B308" s="403" t="s">
        <v>1149</v>
      </c>
      <c r="C308" s="419" t="s">
        <v>1150</v>
      </c>
      <c r="D308" s="419" t="s">
        <v>1150</v>
      </c>
      <c r="E308" s="420" t="s">
        <v>1150</v>
      </c>
      <c r="F308" s="407">
        <v>1.7066999999999999E-4</v>
      </c>
      <c r="G308" s="128"/>
      <c r="H308" s="128"/>
      <c r="I308" s="7" t="s">
        <v>117</v>
      </c>
      <c r="J308" s="7" t="s">
        <v>420</v>
      </c>
      <c r="K308" s="405">
        <v>2024</v>
      </c>
      <c r="L308" s="406" t="s">
        <v>571</v>
      </c>
    </row>
    <row r="309" spans="1:12" ht="16.5" x14ac:dyDescent="0.35">
      <c r="A309" s="7" t="s">
        <v>1151</v>
      </c>
      <c r="B309" s="403" t="s">
        <v>134</v>
      </c>
      <c r="C309" s="419" t="s">
        <v>1152</v>
      </c>
      <c r="D309" s="419" t="s">
        <v>1153</v>
      </c>
      <c r="E309" s="420" t="s">
        <v>1154</v>
      </c>
      <c r="F309" s="407">
        <v>1E-3</v>
      </c>
      <c r="G309" s="128"/>
      <c r="H309" s="128"/>
      <c r="I309" s="7" t="s">
        <v>123</v>
      </c>
      <c r="J309" s="7" t="s">
        <v>420</v>
      </c>
      <c r="K309" s="405">
        <v>2024</v>
      </c>
      <c r="L309" s="406" t="s">
        <v>571</v>
      </c>
    </row>
    <row r="310" spans="1:12" ht="16.5" x14ac:dyDescent="0.35">
      <c r="A310" s="7" t="s">
        <v>1151</v>
      </c>
      <c r="B310" s="403" t="s">
        <v>1155</v>
      </c>
      <c r="C310" s="419" t="s">
        <v>1156</v>
      </c>
      <c r="D310" s="419" t="s">
        <v>1157</v>
      </c>
      <c r="E310" s="420" t="s">
        <v>1158</v>
      </c>
      <c r="F310" s="407">
        <v>2.8000000000000001E-2</v>
      </c>
      <c r="G310" s="128"/>
      <c r="H310" s="128"/>
      <c r="I310" s="7" t="s">
        <v>123</v>
      </c>
      <c r="J310" s="7" t="s">
        <v>420</v>
      </c>
      <c r="K310" s="405">
        <v>2024</v>
      </c>
      <c r="L310" s="406" t="s">
        <v>571</v>
      </c>
    </row>
    <row r="311" spans="1:12" ht="16.5" x14ac:dyDescent="0.35">
      <c r="A311" s="7" t="s">
        <v>1151</v>
      </c>
      <c r="B311" s="403" t="s">
        <v>1159</v>
      </c>
      <c r="C311" s="419" t="s">
        <v>1160</v>
      </c>
      <c r="D311" s="419" t="s">
        <v>1160</v>
      </c>
      <c r="E311" s="420" t="s">
        <v>1160</v>
      </c>
      <c r="F311" s="407">
        <v>0.26500000000000001</v>
      </c>
      <c r="G311" s="128"/>
      <c r="H311" s="128"/>
      <c r="I311" s="7" t="s">
        <v>123</v>
      </c>
      <c r="J311" s="7" t="s">
        <v>420</v>
      </c>
      <c r="K311" s="405">
        <v>2024</v>
      </c>
      <c r="L311" s="406" t="s">
        <v>571</v>
      </c>
    </row>
    <row r="312" spans="1:12" x14ac:dyDescent="0.35">
      <c r="A312" s="7" t="s">
        <v>1151</v>
      </c>
      <c r="B312" s="403" t="s">
        <v>172</v>
      </c>
      <c r="C312" s="419" t="s">
        <v>172</v>
      </c>
      <c r="D312" s="419" t="s">
        <v>172</v>
      </c>
      <c r="E312" s="420" t="s">
        <v>172</v>
      </c>
      <c r="F312" s="407">
        <v>12.4</v>
      </c>
      <c r="G312" s="128"/>
      <c r="H312" s="128"/>
      <c r="I312" s="7" t="s">
        <v>123</v>
      </c>
      <c r="J312" s="7" t="s">
        <v>420</v>
      </c>
      <c r="K312" s="405">
        <v>2024</v>
      </c>
      <c r="L312" s="406" t="s">
        <v>571</v>
      </c>
    </row>
    <row r="313" spans="1:12" x14ac:dyDescent="0.35">
      <c r="A313" s="7" t="s">
        <v>1151</v>
      </c>
      <c r="B313" s="403" t="s">
        <v>173</v>
      </c>
      <c r="C313" s="419" t="s">
        <v>173</v>
      </c>
      <c r="D313" s="419" t="s">
        <v>173</v>
      </c>
      <c r="E313" s="420" t="s">
        <v>173</v>
      </c>
      <c r="F313" s="407">
        <v>0.67700000000000005</v>
      </c>
      <c r="G313" s="128"/>
      <c r="H313" s="128"/>
      <c r="I313" s="7" t="s">
        <v>123</v>
      </c>
      <c r="J313" s="7" t="s">
        <v>420</v>
      </c>
      <c r="K313" s="405">
        <v>2024</v>
      </c>
      <c r="L313" s="406" t="s">
        <v>571</v>
      </c>
    </row>
    <row r="314" spans="1:12" x14ac:dyDescent="0.35">
      <c r="A314" s="7" t="s">
        <v>1151</v>
      </c>
      <c r="B314" s="403" t="s">
        <v>175</v>
      </c>
      <c r="C314" s="419" t="s">
        <v>175</v>
      </c>
      <c r="D314" s="419" t="s">
        <v>175</v>
      </c>
      <c r="E314" s="420" t="s">
        <v>175</v>
      </c>
      <c r="F314" s="407">
        <v>0.11600000000000001</v>
      </c>
      <c r="G314" s="128"/>
      <c r="H314" s="128"/>
      <c r="I314" s="7" t="s">
        <v>123</v>
      </c>
      <c r="J314" s="7" t="s">
        <v>420</v>
      </c>
      <c r="K314" s="405">
        <v>2024</v>
      </c>
      <c r="L314" s="406" t="s">
        <v>571</v>
      </c>
    </row>
    <row r="315" spans="1:12" x14ac:dyDescent="0.35">
      <c r="A315" s="7" t="s">
        <v>1151</v>
      </c>
      <c r="B315" s="403" t="s">
        <v>177</v>
      </c>
      <c r="C315" s="419" t="s">
        <v>177</v>
      </c>
      <c r="D315" s="419" t="s">
        <v>177</v>
      </c>
      <c r="E315" s="420" t="s">
        <v>177</v>
      </c>
      <c r="F315" s="407">
        <v>3.17</v>
      </c>
      <c r="G315" s="128"/>
      <c r="H315" s="128"/>
      <c r="I315" s="7" t="s">
        <v>123</v>
      </c>
      <c r="J315" s="7" t="s">
        <v>420</v>
      </c>
      <c r="K315" s="405">
        <v>2024</v>
      </c>
      <c r="L315" s="406" t="s">
        <v>571</v>
      </c>
    </row>
    <row r="316" spans="1:12" x14ac:dyDescent="0.35">
      <c r="A316" s="7" t="s">
        <v>1151</v>
      </c>
      <c r="B316" s="403" t="s">
        <v>178</v>
      </c>
      <c r="C316" s="419" t="s">
        <v>178</v>
      </c>
      <c r="D316" s="419" t="s">
        <v>178</v>
      </c>
      <c r="E316" s="420" t="s">
        <v>178</v>
      </c>
      <c r="F316" s="407">
        <v>1.1200000000000001</v>
      </c>
      <c r="G316" s="128"/>
      <c r="H316" s="128"/>
      <c r="I316" s="7" t="s">
        <v>123</v>
      </c>
      <c r="J316" s="7" t="s">
        <v>420</v>
      </c>
      <c r="K316" s="405">
        <v>2024</v>
      </c>
      <c r="L316" s="406" t="s">
        <v>571</v>
      </c>
    </row>
    <row r="317" spans="1:12" x14ac:dyDescent="0.35">
      <c r="A317" s="7" t="s">
        <v>1151</v>
      </c>
      <c r="B317" s="403" t="s">
        <v>179</v>
      </c>
      <c r="C317" s="419" t="s">
        <v>179</v>
      </c>
      <c r="D317" s="419" t="s">
        <v>179</v>
      </c>
      <c r="E317" s="420" t="s">
        <v>179</v>
      </c>
      <c r="F317" s="407">
        <v>1.3</v>
      </c>
      <c r="G317" s="128"/>
      <c r="H317" s="128"/>
      <c r="I317" s="7" t="s">
        <v>123</v>
      </c>
      <c r="J317" s="7" t="s">
        <v>420</v>
      </c>
      <c r="K317" s="405">
        <v>2024</v>
      </c>
      <c r="L317" s="406" t="s">
        <v>571</v>
      </c>
    </row>
    <row r="318" spans="1:12" x14ac:dyDescent="0.35">
      <c r="A318" s="7" t="s">
        <v>1151</v>
      </c>
      <c r="B318" s="403" t="s">
        <v>1161</v>
      </c>
      <c r="C318" s="419" t="s">
        <v>1162</v>
      </c>
      <c r="D318" s="419" t="s">
        <v>1161</v>
      </c>
      <c r="E318" s="420" t="s">
        <v>1163</v>
      </c>
      <c r="F318" s="407">
        <v>0.32800000000000001</v>
      </c>
      <c r="G318" s="128"/>
      <c r="H318" s="128"/>
      <c r="I318" s="7" t="s">
        <v>123</v>
      </c>
      <c r="J318" s="7" t="s">
        <v>420</v>
      </c>
      <c r="K318" s="405">
        <v>2024</v>
      </c>
      <c r="L318" s="406" t="s">
        <v>571</v>
      </c>
    </row>
    <row r="319" spans="1:12" x14ac:dyDescent="0.35">
      <c r="A319" s="7" t="s">
        <v>1151</v>
      </c>
      <c r="B319" s="403" t="s">
        <v>181</v>
      </c>
      <c r="C319" s="419" t="s">
        <v>181</v>
      </c>
      <c r="D319" s="419" t="s">
        <v>181</v>
      </c>
      <c r="E319" s="420" t="s">
        <v>181</v>
      </c>
      <c r="F319" s="407">
        <v>4.8</v>
      </c>
      <c r="G319" s="128"/>
      <c r="H319" s="128"/>
      <c r="I319" s="7" t="s">
        <v>123</v>
      </c>
      <c r="J319" s="7" t="s">
        <v>420</v>
      </c>
      <c r="K319" s="405">
        <v>2024</v>
      </c>
      <c r="L319" s="406" t="s">
        <v>571</v>
      </c>
    </row>
    <row r="320" spans="1:12" x14ac:dyDescent="0.35">
      <c r="A320" s="7" t="s">
        <v>1151</v>
      </c>
      <c r="B320" s="403" t="s">
        <v>182</v>
      </c>
      <c r="C320" s="419" t="s">
        <v>182</v>
      </c>
      <c r="D320" s="419" t="s">
        <v>182</v>
      </c>
      <c r="E320" s="420" t="s">
        <v>182</v>
      </c>
      <c r="F320" s="407">
        <v>0.13800000000000001</v>
      </c>
      <c r="G320" s="128"/>
      <c r="H320" s="128"/>
      <c r="I320" s="7" t="s">
        <v>123</v>
      </c>
      <c r="J320" s="7" t="s">
        <v>420</v>
      </c>
      <c r="K320" s="405">
        <v>2024</v>
      </c>
      <c r="L320" s="406" t="s">
        <v>571</v>
      </c>
    </row>
    <row r="321" spans="1:12" x14ac:dyDescent="0.35">
      <c r="A321" s="7" t="s">
        <v>1151</v>
      </c>
      <c r="B321" s="403" t="s">
        <v>183</v>
      </c>
      <c r="C321" s="419" t="s">
        <v>183</v>
      </c>
      <c r="D321" s="419" t="s">
        <v>183</v>
      </c>
      <c r="E321" s="420" t="s">
        <v>183</v>
      </c>
      <c r="F321" s="407">
        <v>3.35</v>
      </c>
      <c r="G321" s="128"/>
      <c r="H321" s="128"/>
      <c r="I321" s="7" t="s">
        <v>123</v>
      </c>
      <c r="J321" s="7" t="s">
        <v>420</v>
      </c>
      <c r="K321" s="405">
        <v>2024</v>
      </c>
      <c r="L321" s="406" t="s">
        <v>571</v>
      </c>
    </row>
    <row r="322" spans="1:12" x14ac:dyDescent="0.35">
      <c r="A322" s="7" t="s">
        <v>1151</v>
      </c>
      <c r="B322" s="403" t="s">
        <v>184</v>
      </c>
      <c r="C322" s="419" t="s">
        <v>184</v>
      </c>
      <c r="D322" s="419" t="s">
        <v>184</v>
      </c>
      <c r="E322" s="420" t="s">
        <v>184</v>
      </c>
      <c r="F322" s="407">
        <v>8.06</v>
      </c>
      <c r="G322" s="128"/>
      <c r="H322" s="128"/>
      <c r="I322" s="7" t="s">
        <v>123</v>
      </c>
      <c r="J322" s="7" t="s">
        <v>420</v>
      </c>
      <c r="K322" s="405">
        <v>2024</v>
      </c>
      <c r="L322" s="406" t="s">
        <v>571</v>
      </c>
    </row>
    <row r="323" spans="1:12" x14ac:dyDescent="0.35">
      <c r="A323" s="7" t="s">
        <v>1151</v>
      </c>
      <c r="B323" s="403" t="s">
        <v>185</v>
      </c>
      <c r="C323" s="419" t="s">
        <v>185</v>
      </c>
      <c r="D323" s="419" t="s">
        <v>185</v>
      </c>
      <c r="E323" s="420" t="s">
        <v>185</v>
      </c>
      <c r="F323" s="407">
        <v>0.85799999999999998</v>
      </c>
      <c r="G323" s="128"/>
      <c r="H323" s="128"/>
      <c r="I323" s="7" t="s">
        <v>123</v>
      </c>
      <c r="J323" s="7" t="s">
        <v>420</v>
      </c>
      <c r="K323" s="405">
        <v>2024</v>
      </c>
      <c r="L323" s="406" t="s">
        <v>571</v>
      </c>
    </row>
    <row r="324" spans="1:12" x14ac:dyDescent="0.35">
      <c r="A324" s="7" t="s">
        <v>1151</v>
      </c>
      <c r="B324" s="403" t="s">
        <v>186</v>
      </c>
      <c r="C324" s="419" t="s">
        <v>186</v>
      </c>
      <c r="D324" s="419" t="s">
        <v>186</v>
      </c>
      <c r="E324" s="420" t="s">
        <v>186</v>
      </c>
      <c r="F324" s="407">
        <v>1.65</v>
      </c>
      <c r="G324" s="128"/>
      <c r="H324" s="128"/>
      <c r="I324" s="7" t="s">
        <v>123</v>
      </c>
      <c r="J324" s="7" t="s">
        <v>420</v>
      </c>
      <c r="K324" s="405">
        <v>2024</v>
      </c>
      <c r="L324" s="406" t="s">
        <v>571</v>
      </c>
    </row>
    <row r="325" spans="1:12" x14ac:dyDescent="0.35">
      <c r="A325" s="7" t="s">
        <v>1151</v>
      </c>
      <c r="B325" s="403" t="s">
        <v>187</v>
      </c>
      <c r="C325" s="419" t="s">
        <v>187</v>
      </c>
      <c r="D325" s="419" t="s">
        <v>187</v>
      </c>
      <c r="E325" s="420" t="s">
        <v>187</v>
      </c>
      <c r="F325" s="407">
        <v>6.63</v>
      </c>
      <c r="G325" s="128"/>
      <c r="H325" s="128"/>
      <c r="I325" s="7" t="s">
        <v>123</v>
      </c>
      <c r="J325" s="7" t="s">
        <v>420</v>
      </c>
      <c r="K325" s="405">
        <v>2024</v>
      </c>
      <c r="L325" s="406" t="s">
        <v>571</v>
      </c>
    </row>
    <row r="326" spans="1:12" x14ac:dyDescent="0.35">
      <c r="A326" s="7" t="s">
        <v>1151</v>
      </c>
      <c r="B326" s="403" t="s">
        <v>188</v>
      </c>
      <c r="C326" s="419" t="s">
        <v>188</v>
      </c>
      <c r="D326" s="419" t="s">
        <v>188</v>
      </c>
      <c r="E326" s="420" t="s">
        <v>188</v>
      </c>
      <c r="F326" s="407">
        <v>11.1</v>
      </c>
      <c r="G326" s="128"/>
      <c r="H326" s="128"/>
      <c r="I326" s="7" t="s">
        <v>123</v>
      </c>
      <c r="J326" s="7" t="s">
        <v>420</v>
      </c>
      <c r="K326" s="405">
        <v>2023</v>
      </c>
      <c r="L326" s="406" t="s">
        <v>571</v>
      </c>
    </row>
    <row r="327" spans="1:12" x14ac:dyDescent="0.35">
      <c r="A327" s="7" t="s">
        <v>1151</v>
      </c>
      <c r="B327" s="403" t="s">
        <v>189</v>
      </c>
      <c r="C327" s="419" t="s">
        <v>189</v>
      </c>
      <c r="D327" s="419" t="s">
        <v>189</v>
      </c>
      <c r="E327" s="420" t="s">
        <v>189</v>
      </c>
      <c r="F327" s="407">
        <v>8.9</v>
      </c>
      <c r="G327" s="128"/>
      <c r="H327" s="128"/>
      <c r="I327" s="7" t="s">
        <v>123</v>
      </c>
      <c r="J327" s="7" t="s">
        <v>420</v>
      </c>
      <c r="K327" s="405">
        <v>2024</v>
      </c>
      <c r="L327" s="406" t="s">
        <v>571</v>
      </c>
    </row>
    <row r="328" spans="1:12" x14ac:dyDescent="0.35">
      <c r="A328" s="7" t="s">
        <v>1151</v>
      </c>
      <c r="B328" s="403" t="s">
        <v>190</v>
      </c>
      <c r="C328" s="419" t="s">
        <v>190</v>
      </c>
      <c r="D328" s="419" t="s">
        <v>190</v>
      </c>
      <c r="E328" s="420" t="s">
        <v>190</v>
      </c>
      <c r="F328" s="407">
        <v>9.5399999999999991</v>
      </c>
      <c r="G328" s="128"/>
      <c r="H328" s="128"/>
      <c r="I328" s="7" t="s">
        <v>123</v>
      </c>
      <c r="J328" s="7" t="s">
        <v>420</v>
      </c>
      <c r="K328" s="405">
        <v>2024</v>
      </c>
      <c r="L328" s="406" t="s">
        <v>571</v>
      </c>
    </row>
    <row r="329" spans="1:12" x14ac:dyDescent="0.35">
      <c r="A329" s="7" t="s">
        <v>1151</v>
      </c>
      <c r="B329" s="403" t="s">
        <v>191</v>
      </c>
      <c r="C329" s="419" t="s">
        <v>191</v>
      </c>
      <c r="D329" s="419" t="s">
        <v>191</v>
      </c>
      <c r="E329" s="420" t="s">
        <v>191</v>
      </c>
      <c r="F329" s="407">
        <v>9.1999999999999993</v>
      </c>
      <c r="G329" s="128"/>
      <c r="H329" s="128"/>
      <c r="I329" s="7" t="s">
        <v>123</v>
      </c>
      <c r="J329" s="7" t="s">
        <v>420</v>
      </c>
      <c r="K329" s="405">
        <v>2024</v>
      </c>
      <c r="L329" s="406" t="s">
        <v>571</v>
      </c>
    </row>
    <row r="330" spans="1:12" x14ac:dyDescent="0.35">
      <c r="A330" s="7" t="s">
        <v>1151</v>
      </c>
      <c r="B330" s="403" t="s">
        <v>192</v>
      </c>
      <c r="C330" s="419" t="s">
        <v>192</v>
      </c>
      <c r="D330" s="419" t="s">
        <v>192</v>
      </c>
      <c r="E330" s="420" t="s">
        <v>192</v>
      </c>
      <c r="F330" s="407">
        <v>8.5500000000000007</v>
      </c>
      <c r="G330" s="128"/>
      <c r="H330" s="128"/>
      <c r="I330" s="7" t="s">
        <v>123</v>
      </c>
      <c r="J330" s="7" t="s">
        <v>420</v>
      </c>
      <c r="K330" s="405">
        <v>2024</v>
      </c>
      <c r="L330" s="406" t="s">
        <v>571</v>
      </c>
    </row>
    <row r="331" spans="1:12" x14ac:dyDescent="0.35">
      <c r="A331" s="7" t="s">
        <v>1151</v>
      </c>
      <c r="B331" s="403" t="s">
        <v>193</v>
      </c>
      <c r="C331" s="419" t="s">
        <v>193</v>
      </c>
      <c r="D331" s="419" t="s">
        <v>193</v>
      </c>
      <c r="E331" s="420" t="s">
        <v>193</v>
      </c>
      <c r="F331" s="407">
        <v>7.91</v>
      </c>
      <c r="G331" s="128"/>
      <c r="H331" s="128"/>
      <c r="I331" s="7" t="s">
        <v>123</v>
      </c>
      <c r="J331" s="7" t="s">
        <v>420</v>
      </c>
      <c r="K331" s="405">
        <v>2024</v>
      </c>
      <c r="L331" s="406" t="s">
        <v>571</v>
      </c>
    </row>
    <row r="332" spans="1:12" x14ac:dyDescent="0.35">
      <c r="A332" s="7" t="s">
        <v>1151</v>
      </c>
      <c r="B332" s="403" t="s">
        <v>1164</v>
      </c>
      <c r="C332" s="419" t="s">
        <v>1165</v>
      </c>
      <c r="D332" s="419" t="s">
        <v>1164</v>
      </c>
      <c r="E332" s="420" t="s">
        <v>1166</v>
      </c>
      <c r="F332" s="407">
        <v>7.19</v>
      </c>
      <c r="G332" s="128"/>
      <c r="H332" s="128"/>
      <c r="I332" s="7" t="s">
        <v>123</v>
      </c>
      <c r="J332" s="7" t="s">
        <v>420</v>
      </c>
      <c r="K332" s="405">
        <v>2024</v>
      </c>
      <c r="L332" s="406" t="s">
        <v>571</v>
      </c>
    </row>
    <row r="333" spans="1:12" x14ac:dyDescent="0.35">
      <c r="A333" s="7" t="s">
        <v>1151</v>
      </c>
      <c r="B333" s="403" t="s">
        <v>195</v>
      </c>
      <c r="C333" s="419" t="s">
        <v>195</v>
      </c>
      <c r="D333" s="419" t="s">
        <v>195</v>
      </c>
      <c r="E333" s="420" t="s">
        <v>195</v>
      </c>
      <c r="F333" s="407">
        <v>9.1999999999999993</v>
      </c>
      <c r="G333" s="128"/>
      <c r="H333" s="128"/>
      <c r="I333" s="7" t="s">
        <v>123</v>
      </c>
      <c r="J333" s="7" t="s">
        <v>420</v>
      </c>
      <c r="K333" s="405">
        <v>2024</v>
      </c>
      <c r="L333" s="406" t="s">
        <v>571</v>
      </c>
    </row>
    <row r="334" spans="1:12" x14ac:dyDescent="0.35">
      <c r="A334" s="7" t="s">
        <v>1151</v>
      </c>
      <c r="B334" s="403" t="s">
        <v>196</v>
      </c>
      <c r="C334" s="419" t="s">
        <v>196</v>
      </c>
      <c r="D334" s="419" t="s">
        <v>196</v>
      </c>
      <c r="E334" s="420" t="s">
        <v>196</v>
      </c>
      <c r="F334" s="407">
        <v>23.5</v>
      </c>
      <c r="G334" s="128"/>
      <c r="H334" s="128"/>
      <c r="I334" s="7" t="s">
        <v>123</v>
      </c>
      <c r="J334" s="7" t="s">
        <v>420</v>
      </c>
      <c r="K334" s="405">
        <v>2024</v>
      </c>
      <c r="L334" s="406" t="s">
        <v>571</v>
      </c>
    </row>
    <row r="335" spans="1:12" x14ac:dyDescent="0.35">
      <c r="A335" s="7" t="s">
        <v>1151</v>
      </c>
      <c r="B335" s="403" t="s">
        <v>197</v>
      </c>
      <c r="C335" s="419" t="s">
        <v>197</v>
      </c>
      <c r="D335" s="419" t="s">
        <v>197</v>
      </c>
      <c r="E335" s="420" t="s">
        <v>197</v>
      </c>
      <c r="F335" s="407">
        <v>1.6E-2</v>
      </c>
      <c r="G335" s="128"/>
      <c r="H335" s="128"/>
      <c r="I335" s="7" t="s">
        <v>123</v>
      </c>
      <c r="J335" s="7" t="s">
        <v>420</v>
      </c>
      <c r="K335" s="405">
        <v>2024</v>
      </c>
      <c r="L335" s="406" t="s">
        <v>571</v>
      </c>
    </row>
    <row r="336" spans="1:12" x14ac:dyDescent="0.35">
      <c r="A336" s="7" t="s">
        <v>1151</v>
      </c>
      <c r="B336" s="403" t="s">
        <v>198</v>
      </c>
      <c r="C336" s="419" t="s">
        <v>198</v>
      </c>
      <c r="D336" s="419" t="s">
        <v>198</v>
      </c>
      <c r="E336" s="420" t="s">
        <v>198</v>
      </c>
      <c r="F336" s="407">
        <v>4.0000000000000001E-3</v>
      </c>
      <c r="G336" s="128"/>
      <c r="H336" s="128"/>
      <c r="I336" s="7" t="s">
        <v>123</v>
      </c>
      <c r="J336" s="7" t="s">
        <v>420</v>
      </c>
      <c r="K336" s="405">
        <v>2024</v>
      </c>
      <c r="L336" s="406" t="s">
        <v>571</v>
      </c>
    </row>
    <row r="337" spans="1:12" x14ac:dyDescent="0.35">
      <c r="A337" s="7" t="s">
        <v>1151</v>
      </c>
      <c r="B337" s="403" t="s">
        <v>199</v>
      </c>
      <c r="C337" s="419" t="s">
        <v>199</v>
      </c>
      <c r="D337" s="419" t="s">
        <v>199</v>
      </c>
      <c r="E337" s="420" t="s">
        <v>199</v>
      </c>
      <c r="F337" s="407">
        <v>1.21</v>
      </c>
      <c r="G337" s="128"/>
      <c r="H337" s="128"/>
      <c r="I337" s="7" t="s">
        <v>123</v>
      </c>
      <c r="J337" s="7" t="s">
        <v>420</v>
      </c>
      <c r="K337" s="405">
        <v>2024</v>
      </c>
      <c r="L337" s="406" t="s">
        <v>571</v>
      </c>
    </row>
    <row r="338" spans="1:12" x14ac:dyDescent="0.35">
      <c r="A338" s="7" t="s">
        <v>1151</v>
      </c>
      <c r="B338" s="403" t="s">
        <v>200</v>
      </c>
      <c r="C338" s="419" t="s">
        <v>200</v>
      </c>
      <c r="D338" s="419" t="s">
        <v>200</v>
      </c>
      <c r="E338" s="420" t="s">
        <v>200</v>
      </c>
      <c r="F338" s="407">
        <v>1.33</v>
      </c>
      <c r="G338" s="128"/>
      <c r="H338" s="128"/>
      <c r="I338" s="7" t="s">
        <v>123</v>
      </c>
      <c r="J338" s="7" t="s">
        <v>420</v>
      </c>
      <c r="K338" s="405">
        <v>2024</v>
      </c>
      <c r="L338" s="406" t="s">
        <v>571</v>
      </c>
    </row>
    <row r="339" spans="1:12" x14ac:dyDescent="0.35">
      <c r="A339" s="7" t="s">
        <v>1151</v>
      </c>
      <c r="B339" s="403" t="s">
        <v>201</v>
      </c>
      <c r="C339" s="419" t="s">
        <v>201</v>
      </c>
      <c r="D339" s="419" t="s">
        <v>201</v>
      </c>
      <c r="E339" s="420" t="s">
        <v>201</v>
      </c>
      <c r="F339" s="407">
        <v>0.71599999999999997</v>
      </c>
      <c r="G339" s="128"/>
      <c r="H339" s="128"/>
      <c r="I339" s="7" t="s">
        <v>123</v>
      </c>
      <c r="J339" s="7" t="s">
        <v>420</v>
      </c>
      <c r="K339" s="405">
        <v>2024</v>
      </c>
      <c r="L339" s="406" t="s">
        <v>571</v>
      </c>
    </row>
    <row r="340" spans="1:12" x14ac:dyDescent="0.35">
      <c r="A340" s="7" t="s">
        <v>1151</v>
      </c>
      <c r="B340" s="403" t="s">
        <v>202</v>
      </c>
      <c r="C340" s="419" t="s">
        <v>202</v>
      </c>
      <c r="D340" s="419" t="s">
        <v>202</v>
      </c>
      <c r="E340" s="420" t="s">
        <v>202</v>
      </c>
      <c r="F340" s="407">
        <v>0.80400000000000005</v>
      </c>
      <c r="G340" s="128"/>
      <c r="H340" s="128"/>
      <c r="I340" s="7" t="s">
        <v>123</v>
      </c>
      <c r="J340" s="7" t="s">
        <v>420</v>
      </c>
      <c r="K340" s="405">
        <v>2024</v>
      </c>
      <c r="L340" s="406" t="s">
        <v>571</v>
      </c>
    </row>
    <row r="341" spans="1:12" x14ac:dyDescent="0.35">
      <c r="A341" s="7" t="s">
        <v>1151</v>
      </c>
      <c r="B341" s="403" t="s">
        <v>203</v>
      </c>
      <c r="C341" s="419" t="s">
        <v>203</v>
      </c>
      <c r="D341" s="419" t="s">
        <v>203</v>
      </c>
      <c r="E341" s="420" t="s">
        <v>203</v>
      </c>
      <c r="F341" s="407">
        <v>16.100000000000001</v>
      </c>
      <c r="G341" s="128"/>
      <c r="H341" s="128"/>
      <c r="I341" s="7" t="s">
        <v>123</v>
      </c>
      <c r="J341" s="7" t="s">
        <v>420</v>
      </c>
      <c r="K341" s="405">
        <v>2024</v>
      </c>
      <c r="L341" s="406" t="s">
        <v>571</v>
      </c>
    </row>
    <row r="342" spans="1:12" x14ac:dyDescent="0.35">
      <c r="A342" s="7" t="s">
        <v>1151</v>
      </c>
      <c r="B342" s="403" t="s">
        <v>204</v>
      </c>
      <c r="C342" s="419" t="s">
        <v>204</v>
      </c>
      <c r="D342" s="419" t="s">
        <v>204</v>
      </c>
      <c r="E342" s="420" t="s">
        <v>204</v>
      </c>
      <c r="F342" s="407">
        <v>1.7999999999999999E-2</v>
      </c>
      <c r="G342" s="128"/>
      <c r="H342" s="128"/>
      <c r="I342" s="7" t="s">
        <v>123</v>
      </c>
      <c r="J342" s="7" t="s">
        <v>420</v>
      </c>
      <c r="K342" s="405">
        <v>2023</v>
      </c>
      <c r="L342" s="406" t="s">
        <v>571</v>
      </c>
    </row>
    <row r="343" spans="1:12" x14ac:dyDescent="0.35">
      <c r="A343" s="7" t="s">
        <v>1151</v>
      </c>
      <c r="B343" s="403" t="s">
        <v>205</v>
      </c>
      <c r="C343" s="419" t="s">
        <v>205</v>
      </c>
      <c r="D343" s="419" t="s">
        <v>205</v>
      </c>
      <c r="E343" s="420" t="s">
        <v>205</v>
      </c>
      <c r="F343" s="407">
        <v>1.4999999999999999E-2</v>
      </c>
      <c r="G343" s="128"/>
      <c r="H343" s="128"/>
      <c r="I343" s="7" t="s">
        <v>123</v>
      </c>
      <c r="J343" s="7" t="s">
        <v>420</v>
      </c>
      <c r="K343" s="405">
        <v>2023</v>
      </c>
      <c r="L343" s="406" t="s">
        <v>571</v>
      </c>
    </row>
    <row r="344" spans="1:12" x14ac:dyDescent="0.35">
      <c r="A344" s="7" t="s">
        <v>1151</v>
      </c>
      <c r="B344" s="403" t="s">
        <v>206</v>
      </c>
      <c r="C344" s="419" t="s">
        <v>206</v>
      </c>
      <c r="D344" s="419" t="s">
        <v>206</v>
      </c>
      <c r="E344" s="420" t="s">
        <v>206</v>
      </c>
      <c r="F344" s="407">
        <v>2.1000000000000001E-2</v>
      </c>
      <c r="G344" s="128"/>
      <c r="H344" s="128"/>
      <c r="I344" s="7" t="s">
        <v>123</v>
      </c>
      <c r="J344" s="7" t="s">
        <v>420</v>
      </c>
      <c r="K344" s="405">
        <v>2024</v>
      </c>
      <c r="L344" s="406" t="s">
        <v>571</v>
      </c>
    </row>
    <row r="345" spans="1:12" x14ac:dyDescent="0.35">
      <c r="A345" s="7" t="s">
        <v>1151</v>
      </c>
      <c r="B345" s="403" t="s">
        <v>207</v>
      </c>
      <c r="C345" s="419" t="s">
        <v>207</v>
      </c>
      <c r="D345" s="419" t="s">
        <v>207</v>
      </c>
      <c r="E345" s="420" t="s">
        <v>207</v>
      </c>
      <c r="F345" s="407">
        <v>1.9019999999999999</v>
      </c>
      <c r="G345" s="128"/>
      <c r="H345" s="128"/>
      <c r="I345" s="7" t="s">
        <v>123</v>
      </c>
      <c r="J345" s="7" t="s">
        <v>420</v>
      </c>
      <c r="K345" s="405">
        <v>2024</v>
      </c>
      <c r="L345" s="406" t="s">
        <v>571</v>
      </c>
    </row>
    <row r="346" spans="1:12" x14ac:dyDescent="0.35">
      <c r="A346" s="7" t="s">
        <v>1151</v>
      </c>
      <c r="B346" s="403" t="s">
        <v>208</v>
      </c>
      <c r="C346" s="419" t="s">
        <v>208</v>
      </c>
      <c r="D346" s="419" t="s">
        <v>208</v>
      </c>
      <c r="E346" s="420" t="s">
        <v>208</v>
      </c>
      <c r="F346" s="407">
        <v>1.2050000000000001</v>
      </c>
      <c r="G346" s="128"/>
      <c r="H346" s="128"/>
      <c r="I346" s="7" t="s">
        <v>123</v>
      </c>
      <c r="J346" s="7" t="s">
        <v>420</v>
      </c>
      <c r="K346" s="405">
        <v>2024</v>
      </c>
      <c r="L346" s="406" t="s">
        <v>571</v>
      </c>
    </row>
    <row r="347" spans="1:12" x14ac:dyDescent="0.35">
      <c r="A347" s="7" t="s">
        <v>1151</v>
      </c>
      <c r="B347" s="403" t="s">
        <v>209</v>
      </c>
      <c r="C347" s="419" t="s">
        <v>209</v>
      </c>
      <c r="D347" s="419" t="s">
        <v>209</v>
      </c>
      <c r="E347" s="420" t="s">
        <v>209</v>
      </c>
      <c r="F347" s="407">
        <v>1.78</v>
      </c>
      <c r="G347" s="128"/>
      <c r="H347" s="128"/>
      <c r="I347" s="7" t="s">
        <v>123</v>
      </c>
      <c r="J347" s="7" t="s">
        <v>420</v>
      </c>
      <c r="K347" s="405">
        <v>2024</v>
      </c>
      <c r="L347" s="406" t="s">
        <v>571</v>
      </c>
    </row>
    <row r="348" spans="1:12" x14ac:dyDescent="0.35">
      <c r="A348" s="7" t="s">
        <v>1151</v>
      </c>
      <c r="B348" s="403" t="s">
        <v>210</v>
      </c>
      <c r="C348" s="419" t="s">
        <v>210</v>
      </c>
      <c r="D348" s="419" t="s">
        <v>210</v>
      </c>
      <c r="E348" s="420" t="s">
        <v>210</v>
      </c>
      <c r="F348" s="407">
        <v>3.4710000000000001</v>
      </c>
      <c r="G348" s="128"/>
      <c r="H348" s="128"/>
      <c r="I348" s="7" t="s">
        <v>123</v>
      </c>
      <c r="J348" s="7" t="s">
        <v>420</v>
      </c>
      <c r="K348" s="405">
        <v>2024</v>
      </c>
      <c r="L348" s="406" t="s">
        <v>571</v>
      </c>
    </row>
    <row r="349" spans="1:12" x14ac:dyDescent="0.35">
      <c r="A349" s="7" t="s">
        <v>1151</v>
      </c>
      <c r="B349" s="403" t="s">
        <v>211</v>
      </c>
      <c r="C349" s="419" t="s">
        <v>211</v>
      </c>
      <c r="D349" s="419" t="s">
        <v>211</v>
      </c>
      <c r="E349" s="420" t="s">
        <v>211</v>
      </c>
      <c r="F349" s="407">
        <v>3.9430000000000001</v>
      </c>
      <c r="G349" s="128"/>
      <c r="H349" s="128"/>
      <c r="I349" s="7" t="s">
        <v>123</v>
      </c>
      <c r="J349" s="7" t="s">
        <v>420</v>
      </c>
      <c r="K349" s="405">
        <v>2024</v>
      </c>
      <c r="L349" s="406" t="s">
        <v>571</v>
      </c>
    </row>
    <row r="350" spans="1:12" x14ac:dyDescent="0.35">
      <c r="A350" s="7" t="s">
        <v>1151</v>
      </c>
      <c r="B350" s="403" t="s">
        <v>212</v>
      </c>
      <c r="C350" s="419" t="s">
        <v>212</v>
      </c>
      <c r="D350" s="419" t="s">
        <v>212</v>
      </c>
      <c r="E350" s="420" t="s">
        <v>212</v>
      </c>
      <c r="F350" s="407">
        <v>3.92</v>
      </c>
      <c r="G350" s="128"/>
      <c r="H350" s="128"/>
      <c r="I350" s="7" t="s">
        <v>123</v>
      </c>
      <c r="J350" s="7" t="s">
        <v>420</v>
      </c>
      <c r="K350" s="405">
        <v>2024</v>
      </c>
      <c r="L350" s="406" t="s">
        <v>571</v>
      </c>
    </row>
    <row r="351" spans="1:12" x14ac:dyDescent="0.35">
      <c r="A351" s="7" t="s">
        <v>1151</v>
      </c>
      <c r="B351" s="403" t="s">
        <v>213</v>
      </c>
      <c r="C351" s="419" t="s">
        <v>213</v>
      </c>
      <c r="D351" s="419" t="s">
        <v>213</v>
      </c>
      <c r="E351" s="420" t="s">
        <v>213</v>
      </c>
      <c r="F351" s="407">
        <v>1.923</v>
      </c>
      <c r="G351" s="128"/>
      <c r="H351" s="128"/>
      <c r="I351" s="7" t="s">
        <v>123</v>
      </c>
      <c r="J351" s="7" t="s">
        <v>420</v>
      </c>
      <c r="K351" s="405">
        <v>2024</v>
      </c>
      <c r="L351" s="406" t="s">
        <v>571</v>
      </c>
    </row>
    <row r="352" spans="1:12" x14ac:dyDescent="0.35">
      <c r="A352" s="7" t="s">
        <v>1151</v>
      </c>
      <c r="B352" s="403" t="s">
        <v>214</v>
      </c>
      <c r="C352" s="419" t="s">
        <v>214</v>
      </c>
      <c r="D352" s="419" t="s">
        <v>214</v>
      </c>
      <c r="E352" s="420" t="s">
        <v>214</v>
      </c>
      <c r="F352" s="407">
        <v>2.5470000000000002</v>
      </c>
      <c r="G352" s="128"/>
      <c r="H352" s="128"/>
      <c r="I352" s="7" t="s">
        <v>123</v>
      </c>
      <c r="J352" s="7" t="s">
        <v>420</v>
      </c>
      <c r="K352" s="405">
        <v>2024</v>
      </c>
      <c r="L352" s="406" t="s">
        <v>571</v>
      </c>
    </row>
    <row r="353" spans="1:12" x14ac:dyDescent="0.35">
      <c r="A353" s="7" t="s">
        <v>1151</v>
      </c>
      <c r="B353" s="403" t="s">
        <v>215</v>
      </c>
      <c r="C353" s="419" t="s">
        <v>215</v>
      </c>
      <c r="D353" s="419" t="s">
        <v>215</v>
      </c>
      <c r="E353" s="420" t="s">
        <v>215</v>
      </c>
      <c r="F353" s="407">
        <v>1.6240000000000001</v>
      </c>
      <c r="G353" s="128"/>
      <c r="H353" s="128"/>
      <c r="I353" s="7" t="s">
        <v>123</v>
      </c>
      <c r="J353" s="7" t="s">
        <v>420</v>
      </c>
      <c r="K353" s="405">
        <v>2024</v>
      </c>
      <c r="L353" s="406" t="s">
        <v>571</v>
      </c>
    </row>
    <row r="354" spans="1:12" x14ac:dyDescent="0.35">
      <c r="A354" s="7" t="s">
        <v>1151</v>
      </c>
      <c r="B354" s="403" t="s">
        <v>216</v>
      </c>
      <c r="C354" s="419" t="s">
        <v>216</v>
      </c>
      <c r="D354" s="419" t="s">
        <v>216</v>
      </c>
      <c r="E354" s="420" t="s">
        <v>216</v>
      </c>
      <c r="F354" s="407">
        <v>1.4870000000000001</v>
      </c>
      <c r="G354" s="128"/>
      <c r="H354" s="128"/>
      <c r="I354" s="7" t="s">
        <v>123</v>
      </c>
      <c r="J354" s="7" t="s">
        <v>420</v>
      </c>
      <c r="K354" s="405">
        <v>2024</v>
      </c>
      <c r="L354" s="406" t="s">
        <v>571</v>
      </c>
    </row>
    <row r="355" spans="1:12" x14ac:dyDescent="0.35">
      <c r="A355" s="7" t="s">
        <v>1151</v>
      </c>
      <c r="B355" s="403" t="s">
        <v>217</v>
      </c>
      <c r="C355" s="419" t="s">
        <v>217</v>
      </c>
      <c r="D355" s="419" t="s">
        <v>217</v>
      </c>
      <c r="E355" s="420" t="s">
        <v>217</v>
      </c>
      <c r="F355" s="407">
        <v>1.425</v>
      </c>
      <c r="G355" s="128"/>
      <c r="H355" s="128"/>
      <c r="I355" s="7" t="s">
        <v>123</v>
      </c>
      <c r="J355" s="7" t="s">
        <v>420</v>
      </c>
      <c r="K355" s="405">
        <v>2024</v>
      </c>
      <c r="L355" s="406" t="s">
        <v>571</v>
      </c>
    </row>
    <row r="356" spans="1:12" x14ac:dyDescent="0.35">
      <c r="A356" s="7" t="s">
        <v>1151</v>
      </c>
      <c r="B356" s="403" t="s">
        <v>218</v>
      </c>
      <c r="C356" s="419" t="s">
        <v>218</v>
      </c>
      <c r="D356" s="419" t="s">
        <v>218</v>
      </c>
      <c r="E356" s="420" t="s">
        <v>218</v>
      </c>
      <c r="F356" s="407">
        <v>1.6739999999999999</v>
      </c>
      <c r="G356" s="128"/>
      <c r="H356" s="128"/>
      <c r="I356" s="7" t="s">
        <v>123</v>
      </c>
      <c r="J356" s="7" t="s">
        <v>420</v>
      </c>
      <c r="K356" s="405">
        <v>2024</v>
      </c>
      <c r="L356" s="406" t="s">
        <v>571</v>
      </c>
    </row>
    <row r="357" spans="1:12" x14ac:dyDescent="0.35">
      <c r="A357" s="7" t="s">
        <v>1151</v>
      </c>
      <c r="B357" s="403" t="s">
        <v>219</v>
      </c>
      <c r="C357" s="419" t="s">
        <v>219</v>
      </c>
      <c r="D357" s="419" t="s">
        <v>219</v>
      </c>
      <c r="E357" s="420" t="s">
        <v>219</v>
      </c>
      <c r="F357" s="407">
        <v>2.4300000000000002</v>
      </c>
      <c r="G357" s="128"/>
      <c r="H357" s="128"/>
      <c r="I357" s="7" t="s">
        <v>123</v>
      </c>
      <c r="J357" s="7" t="s">
        <v>420</v>
      </c>
      <c r="K357" s="405">
        <v>2024</v>
      </c>
      <c r="L357" s="406" t="s">
        <v>571</v>
      </c>
    </row>
    <row r="358" spans="1:12" x14ac:dyDescent="0.35">
      <c r="A358" s="7" t="s">
        <v>1151</v>
      </c>
      <c r="B358" s="403" t="s">
        <v>220</v>
      </c>
      <c r="C358" s="419" t="s">
        <v>220</v>
      </c>
      <c r="D358" s="419" t="s">
        <v>220</v>
      </c>
      <c r="E358" s="420" t="s">
        <v>220</v>
      </c>
      <c r="F358" s="407">
        <v>1.9239999999999999</v>
      </c>
      <c r="G358" s="128"/>
      <c r="H358" s="128"/>
      <c r="I358" s="7" t="s">
        <v>123</v>
      </c>
      <c r="J358" s="7" t="s">
        <v>420</v>
      </c>
      <c r="K358" s="405">
        <v>2024</v>
      </c>
      <c r="L358" s="406" t="s">
        <v>571</v>
      </c>
    </row>
    <row r="359" spans="1:12" x14ac:dyDescent="0.35">
      <c r="A359" s="7" t="s">
        <v>1151</v>
      </c>
      <c r="B359" s="403" t="s">
        <v>221</v>
      </c>
      <c r="C359" s="419" t="s">
        <v>221</v>
      </c>
      <c r="D359" s="419" t="s">
        <v>221</v>
      </c>
      <c r="E359" s="420" t="s">
        <v>221</v>
      </c>
      <c r="F359" s="407">
        <v>2.048</v>
      </c>
      <c r="G359" s="128"/>
      <c r="H359" s="128"/>
      <c r="I359" s="7" t="s">
        <v>123</v>
      </c>
      <c r="J359" s="7" t="s">
        <v>420</v>
      </c>
      <c r="K359" s="405">
        <v>2024</v>
      </c>
      <c r="L359" s="406" t="s">
        <v>571</v>
      </c>
    </row>
    <row r="360" spans="1:12" x14ac:dyDescent="0.35">
      <c r="A360" s="7" t="s">
        <v>1151</v>
      </c>
      <c r="B360" s="403" t="s">
        <v>222</v>
      </c>
      <c r="C360" s="419" t="s">
        <v>222</v>
      </c>
      <c r="D360" s="419" t="s">
        <v>222</v>
      </c>
      <c r="E360" s="420" t="s">
        <v>222</v>
      </c>
      <c r="F360" s="407">
        <v>1.4999999999999999E-2</v>
      </c>
      <c r="G360" s="128"/>
      <c r="H360" s="128"/>
      <c r="I360" s="7" t="s">
        <v>123</v>
      </c>
      <c r="J360" s="7" t="s">
        <v>420</v>
      </c>
      <c r="K360" s="405">
        <v>2024</v>
      </c>
      <c r="L360" s="406" t="s">
        <v>571</v>
      </c>
    </row>
    <row r="361" spans="1:12" x14ac:dyDescent="0.35">
      <c r="A361" s="7" t="s">
        <v>1151</v>
      </c>
      <c r="B361" s="403" t="s">
        <v>223</v>
      </c>
      <c r="C361" s="419" t="s">
        <v>223</v>
      </c>
      <c r="D361" s="419" t="s">
        <v>223</v>
      </c>
      <c r="E361" s="420" t="s">
        <v>223</v>
      </c>
      <c r="F361" s="407">
        <v>4.0000000000000001E-3</v>
      </c>
      <c r="G361" s="128"/>
      <c r="H361" s="128"/>
      <c r="I361" s="7" t="s">
        <v>123</v>
      </c>
      <c r="J361" s="7" t="s">
        <v>420</v>
      </c>
      <c r="K361" s="405">
        <v>2024</v>
      </c>
      <c r="L361" s="406" t="s">
        <v>571</v>
      </c>
    </row>
    <row r="362" spans="1:12" x14ac:dyDescent="0.35">
      <c r="A362" s="7" t="s">
        <v>1151</v>
      </c>
      <c r="B362" s="403" t="s">
        <v>224</v>
      </c>
      <c r="C362" s="419" t="s">
        <v>224</v>
      </c>
      <c r="D362" s="419" t="s">
        <v>224</v>
      </c>
      <c r="E362" s="420" t="s">
        <v>224</v>
      </c>
      <c r="F362" s="407">
        <v>0.44500000000000001</v>
      </c>
      <c r="G362" s="128"/>
      <c r="H362" s="128"/>
      <c r="I362" s="7" t="s">
        <v>123</v>
      </c>
      <c r="J362" s="7" t="s">
        <v>420</v>
      </c>
      <c r="K362" s="405">
        <v>2024</v>
      </c>
      <c r="L362" s="406" t="s">
        <v>571</v>
      </c>
    </row>
    <row r="363" spans="1:12" x14ac:dyDescent="0.35">
      <c r="A363" s="7" t="s">
        <v>1151</v>
      </c>
      <c r="B363" s="403" t="s">
        <v>225</v>
      </c>
      <c r="C363" s="419" t="s">
        <v>225</v>
      </c>
      <c r="D363" s="419" t="s">
        <v>225</v>
      </c>
      <c r="E363" s="420" t="s">
        <v>225</v>
      </c>
      <c r="F363" s="407">
        <v>1.9450000000000001</v>
      </c>
      <c r="G363" s="128"/>
      <c r="H363" s="128"/>
      <c r="I363" s="7" t="s">
        <v>123</v>
      </c>
      <c r="J363" s="7" t="s">
        <v>420</v>
      </c>
      <c r="K363" s="405">
        <v>2024</v>
      </c>
      <c r="L363" s="406" t="s">
        <v>571</v>
      </c>
    </row>
    <row r="364" spans="1:12" x14ac:dyDescent="0.35">
      <c r="A364" s="7" t="s">
        <v>1151</v>
      </c>
      <c r="B364" s="403" t="s">
        <v>226</v>
      </c>
      <c r="C364" s="419" t="s">
        <v>226</v>
      </c>
      <c r="D364" s="419" t="s">
        <v>226</v>
      </c>
      <c r="E364" s="420" t="s">
        <v>226</v>
      </c>
      <c r="F364" s="407">
        <v>2.5000000000000001E-2</v>
      </c>
      <c r="G364" s="128"/>
      <c r="H364" s="128"/>
      <c r="I364" s="7" t="s">
        <v>123</v>
      </c>
      <c r="J364" s="7" t="s">
        <v>420</v>
      </c>
      <c r="K364" s="405">
        <v>2024</v>
      </c>
      <c r="L364" s="406" t="s">
        <v>571</v>
      </c>
    </row>
    <row r="365" spans="1:12" x14ac:dyDescent="0.35">
      <c r="A365" s="7" t="s">
        <v>1151</v>
      </c>
      <c r="B365" s="403" t="s">
        <v>227</v>
      </c>
      <c r="C365" s="419" t="s">
        <v>227</v>
      </c>
      <c r="D365" s="419" t="s">
        <v>227</v>
      </c>
      <c r="E365" s="420" t="s">
        <v>227</v>
      </c>
      <c r="F365" s="407">
        <v>0.104</v>
      </c>
      <c r="G365" s="128"/>
      <c r="H365" s="128"/>
      <c r="I365" s="7" t="s">
        <v>123</v>
      </c>
      <c r="J365" s="7" t="s">
        <v>420</v>
      </c>
      <c r="K365" s="405">
        <v>2024</v>
      </c>
      <c r="L365" s="406" t="s">
        <v>571</v>
      </c>
    </row>
    <row r="366" spans="1:12" x14ac:dyDescent="0.35">
      <c r="A366" s="7" t="s">
        <v>1151</v>
      </c>
      <c r="B366" s="403" t="s">
        <v>228</v>
      </c>
      <c r="C366" s="419" t="s">
        <v>228</v>
      </c>
      <c r="D366" s="419" t="s">
        <v>228</v>
      </c>
      <c r="E366" s="420" t="s">
        <v>228</v>
      </c>
      <c r="F366" s="407">
        <v>0.76700000000000002</v>
      </c>
      <c r="G366" s="128"/>
      <c r="H366" s="128"/>
      <c r="I366" s="7" t="s">
        <v>123</v>
      </c>
      <c r="J366" s="7" t="s">
        <v>420</v>
      </c>
      <c r="K366" s="405">
        <v>2024</v>
      </c>
      <c r="L366" s="406" t="s">
        <v>571</v>
      </c>
    </row>
    <row r="367" spans="1:12" x14ac:dyDescent="0.35">
      <c r="A367" s="7" t="s">
        <v>1151</v>
      </c>
      <c r="B367" s="403" t="s">
        <v>229</v>
      </c>
      <c r="C367" s="419" t="s">
        <v>229</v>
      </c>
      <c r="D367" s="419" t="s">
        <v>229</v>
      </c>
      <c r="E367" s="420" t="s">
        <v>229</v>
      </c>
      <c r="F367" s="407">
        <v>2.1269999999999998</v>
      </c>
      <c r="G367" s="128"/>
      <c r="H367" s="128"/>
      <c r="I367" s="7" t="s">
        <v>123</v>
      </c>
      <c r="J367" s="7" t="s">
        <v>420</v>
      </c>
      <c r="K367" s="405">
        <v>2024</v>
      </c>
      <c r="L367" s="406" t="s">
        <v>571</v>
      </c>
    </row>
    <row r="368" spans="1:12" x14ac:dyDescent="0.35">
      <c r="A368" s="7" t="s">
        <v>1151</v>
      </c>
      <c r="B368" s="403" t="s">
        <v>230</v>
      </c>
      <c r="C368" s="419" t="s">
        <v>230</v>
      </c>
      <c r="D368" s="419" t="s">
        <v>230</v>
      </c>
      <c r="E368" s="420" t="s">
        <v>230</v>
      </c>
      <c r="F368" s="407">
        <v>2.742</v>
      </c>
      <c r="G368" s="128"/>
      <c r="H368" s="128"/>
      <c r="I368" s="7" t="s">
        <v>123</v>
      </c>
      <c r="J368" s="7" t="s">
        <v>420</v>
      </c>
      <c r="K368" s="405">
        <v>2024</v>
      </c>
      <c r="L368" s="406" t="s">
        <v>571</v>
      </c>
    </row>
    <row r="369" spans="1:12" x14ac:dyDescent="0.35">
      <c r="A369" s="7" t="s">
        <v>1151</v>
      </c>
      <c r="B369" s="403" t="s">
        <v>231</v>
      </c>
      <c r="C369" s="419" t="s">
        <v>231</v>
      </c>
      <c r="D369" s="419" t="s">
        <v>231</v>
      </c>
      <c r="E369" s="420" t="s">
        <v>231</v>
      </c>
      <c r="F369" s="407">
        <v>1.643</v>
      </c>
      <c r="G369" s="128"/>
      <c r="H369" s="128"/>
      <c r="I369" s="7" t="s">
        <v>123</v>
      </c>
      <c r="J369" s="7" t="s">
        <v>420</v>
      </c>
      <c r="K369" s="405">
        <v>2024</v>
      </c>
      <c r="L369" s="406" t="s">
        <v>571</v>
      </c>
    </row>
    <row r="370" spans="1:12" x14ac:dyDescent="0.35">
      <c r="A370" s="7" t="s">
        <v>1151</v>
      </c>
      <c r="B370" s="403" t="s">
        <v>232</v>
      </c>
      <c r="C370" s="419" t="s">
        <v>232</v>
      </c>
      <c r="D370" s="419" t="s">
        <v>232</v>
      </c>
      <c r="E370" s="420" t="s">
        <v>232</v>
      </c>
      <c r="F370" s="407">
        <v>3.0000000000000001E-3</v>
      </c>
      <c r="G370" s="128"/>
      <c r="H370" s="128"/>
      <c r="I370" s="7" t="s">
        <v>123</v>
      </c>
      <c r="J370" s="7" t="s">
        <v>420</v>
      </c>
      <c r="K370" s="405">
        <v>2023</v>
      </c>
      <c r="L370" s="406" t="s">
        <v>571</v>
      </c>
    </row>
    <row r="371" spans="1:12" x14ac:dyDescent="0.35">
      <c r="A371" s="7" t="s">
        <v>1151</v>
      </c>
      <c r="B371" s="403" t="s">
        <v>233</v>
      </c>
      <c r="C371" s="419" t="s">
        <v>233</v>
      </c>
      <c r="D371" s="419" t="s">
        <v>233</v>
      </c>
      <c r="E371" s="420" t="s">
        <v>233</v>
      </c>
      <c r="F371" s="407">
        <v>2.6880000000000002</v>
      </c>
      <c r="G371" s="128"/>
      <c r="H371" s="128"/>
      <c r="I371" s="7" t="s">
        <v>123</v>
      </c>
      <c r="J371" s="7" t="s">
        <v>420</v>
      </c>
      <c r="K371" s="405">
        <v>2023</v>
      </c>
      <c r="L371" s="406" t="s">
        <v>571</v>
      </c>
    </row>
    <row r="372" spans="1:12" x14ac:dyDescent="0.35">
      <c r="A372" s="7" t="s">
        <v>1151</v>
      </c>
      <c r="B372" s="403" t="s">
        <v>234</v>
      </c>
      <c r="C372" s="419" t="s">
        <v>234</v>
      </c>
      <c r="D372" s="419" t="s">
        <v>234</v>
      </c>
      <c r="E372" s="420" t="s">
        <v>234</v>
      </c>
      <c r="F372" s="407">
        <v>2.161</v>
      </c>
      <c r="G372" s="128"/>
      <c r="H372" s="128"/>
      <c r="I372" s="7" t="s">
        <v>123</v>
      </c>
      <c r="J372" s="7" t="s">
        <v>420</v>
      </c>
      <c r="K372" s="405">
        <v>2023</v>
      </c>
      <c r="L372" s="406" t="s">
        <v>571</v>
      </c>
    </row>
    <row r="373" spans="1:12" x14ac:dyDescent="0.35">
      <c r="A373" s="7" t="s">
        <v>1151</v>
      </c>
      <c r="B373" s="403" t="s">
        <v>235</v>
      </c>
      <c r="C373" s="419" t="s">
        <v>235</v>
      </c>
      <c r="D373" s="419" t="s">
        <v>235</v>
      </c>
      <c r="E373" s="420" t="s">
        <v>235</v>
      </c>
      <c r="F373" s="407">
        <v>1.1439999999999999</v>
      </c>
      <c r="G373" s="128"/>
      <c r="H373" s="128"/>
      <c r="I373" s="7" t="s">
        <v>123</v>
      </c>
      <c r="J373" s="7" t="s">
        <v>420</v>
      </c>
      <c r="K373" s="405">
        <v>2023</v>
      </c>
      <c r="L373" s="406" t="s">
        <v>571</v>
      </c>
    </row>
    <row r="374" spans="1:12" x14ac:dyDescent="0.35">
      <c r="A374" s="7" t="s">
        <v>1151</v>
      </c>
      <c r="B374" s="403" t="s">
        <v>132</v>
      </c>
      <c r="C374" s="419" t="s">
        <v>132</v>
      </c>
      <c r="D374" s="419" t="s">
        <v>132</v>
      </c>
      <c r="E374" s="420" t="s">
        <v>132</v>
      </c>
      <c r="F374" s="407">
        <v>2.3849999999999998</v>
      </c>
      <c r="G374" s="128"/>
      <c r="H374" s="128"/>
      <c r="I374" s="7" t="s">
        <v>123</v>
      </c>
      <c r="J374" s="7" t="s">
        <v>420</v>
      </c>
      <c r="K374" s="405">
        <v>2024</v>
      </c>
      <c r="L374" s="406" t="s">
        <v>571</v>
      </c>
    </row>
    <row r="375" spans="1:12" x14ac:dyDescent="0.35">
      <c r="A375" s="7" t="s">
        <v>1151</v>
      </c>
      <c r="B375" s="403" t="s">
        <v>236</v>
      </c>
      <c r="C375" s="419" t="s">
        <v>236</v>
      </c>
      <c r="D375" s="419" t="s">
        <v>236</v>
      </c>
      <c r="E375" s="420" t="s">
        <v>236</v>
      </c>
      <c r="F375" s="407">
        <v>2.89</v>
      </c>
      <c r="G375" s="128"/>
      <c r="H375" s="128"/>
      <c r="I375" s="7" t="s">
        <v>123</v>
      </c>
      <c r="J375" s="7" t="s">
        <v>420</v>
      </c>
      <c r="K375" s="405">
        <v>2024</v>
      </c>
      <c r="L375" s="406" t="s">
        <v>571</v>
      </c>
    </row>
    <row r="376" spans="1:12" x14ac:dyDescent="0.35">
      <c r="A376" s="7" t="s">
        <v>1151</v>
      </c>
      <c r="B376" s="403" t="s">
        <v>237</v>
      </c>
      <c r="C376" s="419" t="s">
        <v>237</v>
      </c>
      <c r="D376" s="419" t="s">
        <v>237</v>
      </c>
      <c r="E376" s="420" t="s">
        <v>237</v>
      </c>
      <c r="F376" s="407">
        <v>2.847</v>
      </c>
      <c r="G376" s="128"/>
      <c r="H376" s="128"/>
      <c r="I376" s="7" t="s">
        <v>123</v>
      </c>
      <c r="J376" s="7" t="s">
        <v>420</v>
      </c>
      <c r="K376" s="405">
        <v>2023</v>
      </c>
      <c r="L376" s="406" t="s">
        <v>571</v>
      </c>
    </row>
    <row r="377" spans="1:12" x14ac:dyDescent="0.35">
      <c r="A377" s="7" t="s">
        <v>1151</v>
      </c>
      <c r="B377" s="403" t="s">
        <v>238</v>
      </c>
      <c r="C377" s="419" t="s">
        <v>238</v>
      </c>
      <c r="D377" s="419" t="s">
        <v>238</v>
      </c>
      <c r="E377" s="420" t="s">
        <v>238</v>
      </c>
      <c r="F377" s="407">
        <v>2.29</v>
      </c>
      <c r="G377" s="128"/>
      <c r="H377" s="128"/>
      <c r="I377" s="7" t="s">
        <v>123</v>
      </c>
      <c r="J377" s="7" t="s">
        <v>420</v>
      </c>
      <c r="K377" s="405">
        <v>2023</v>
      </c>
      <c r="L377" s="406" t="s">
        <v>571</v>
      </c>
    </row>
    <row r="378" spans="1:12" x14ac:dyDescent="0.35">
      <c r="A378" s="7" t="s">
        <v>1151</v>
      </c>
      <c r="B378" s="403" t="s">
        <v>239</v>
      </c>
      <c r="C378" s="419" t="s">
        <v>239</v>
      </c>
      <c r="D378" s="419" t="s">
        <v>239</v>
      </c>
      <c r="E378" s="420" t="s">
        <v>239</v>
      </c>
      <c r="F378" s="407">
        <v>2.794</v>
      </c>
      <c r="G378" s="128"/>
      <c r="H378" s="128"/>
      <c r="I378" s="7" t="s">
        <v>123</v>
      </c>
      <c r="J378" s="7" t="s">
        <v>420</v>
      </c>
      <c r="K378" s="405">
        <v>2024</v>
      </c>
      <c r="L378" s="406" t="s">
        <v>571</v>
      </c>
    </row>
    <row r="379" spans="1:12" x14ac:dyDescent="0.35">
      <c r="A379" s="7" t="s">
        <v>1151</v>
      </c>
      <c r="B379" s="403" t="s">
        <v>240</v>
      </c>
      <c r="C379" s="419" t="s">
        <v>240</v>
      </c>
      <c r="D379" s="419" t="s">
        <v>240</v>
      </c>
      <c r="E379" s="420" t="s">
        <v>240</v>
      </c>
      <c r="F379" s="407">
        <v>2.4729999999999999</v>
      </c>
      <c r="G379" s="128"/>
      <c r="H379" s="128"/>
      <c r="I379" s="7" t="s">
        <v>123</v>
      </c>
      <c r="J379" s="7" t="s">
        <v>420</v>
      </c>
      <c r="K379" s="405">
        <v>2024</v>
      </c>
      <c r="L379" s="406" t="s">
        <v>571</v>
      </c>
    </row>
    <row r="380" spans="1:12" x14ac:dyDescent="0.35">
      <c r="A380" s="7" t="s">
        <v>1151</v>
      </c>
      <c r="B380" s="403" t="s">
        <v>241</v>
      </c>
      <c r="C380" s="419" t="s">
        <v>241</v>
      </c>
      <c r="D380" s="419" t="s">
        <v>241</v>
      </c>
      <c r="E380" s="420" t="s">
        <v>241</v>
      </c>
      <c r="F380" s="407">
        <v>2.35</v>
      </c>
      <c r="G380" s="128"/>
      <c r="H380" s="128"/>
      <c r="I380" s="7" t="s">
        <v>123</v>
      </c>
      <c r="J380" s="7" t="s">
        <v>420</v>
      </c>
      <c r="K380" s="405">
        <v>2024</v>
      </c>
      <c r="L380" s="406" t="s">
        <v>571</v>
      </c>
    </row>
    <row r="381" spans="1:12" x14ac:dyDescent="0.35">
      <c r="A381" s="7" t="s">
        <v>1151</v>
      </c>
      <c r="B381" s="403" t="s">
        <v>242</v>
      </c>
      <c r="C381" s="419" t="s">
        <v>242</v>
      </c>
      <c r="D381" s="419" t="s">
        <v>242</v>
      </c>
      <c r="E381" s="420" t="s">
        <v>242</v>
      </c>
      <c r="F381" s="407">
        <v>2.274</v>
      </c>
      <c r="G381" s="128"/>
      <c r="H381" s="128"/>
      <c r="I381" s="7" t="s">
        <v>123</v>
      </c>
      <c r="J381" s="7" t="s">
        <v>420</v>
      </c>
      <c r="K381" s="405">
        <v>2024</v>
      </c>
      <c r="L381" s="406" t="s">
        <v>571</v>
      </c>
    </row>
    <row r="382" spans="1:12" x14ac:dyDescent="0.35">
      <c r="A382" s="7" t="s">
        <v>1151</v>
      </c>
      <c r="B382" s="403" t="s">
        <v>243</v>
      </c>
      <c r="C382" s="419" t="s">
        <v>243</v>
      </c>
      <c r="D382" s="419" t="s">
        <v>243</v>
      </c>
      <c r="E382" s="420" t="s">
        <v>243</v>
      </c>
      <c r="F382" s="407">
        <v>2.2120000000000002</v>
      </c>
      <c r="G382" s="128"/>
      <c r="H382" s="128"/>
      <c r="I382" s="7" t="s">
        <v>123</v>
      </c>
      <c r="J382" s="7" t="s">
        <v>420</v>
      </c>
      <c r="K382" s="405">
        <v>2023</v>
      </c>
      <c r="L382" s="406" t="s">
        <v>571</v>
      </c>
    </row>
    <row r="383" spans="1:12" x14ac:dyDescent="0.35">
      <c r="A383" s="7" t="s">
        <v>1151</v>
      </c>
      <c r="B383" s="403" t="s">
        <v>244</v>
      </c>
      <c r="C383" s="419" t="s">
        <v>244</v>
      </c>
      <c r="D383" s="419" t="s">
        <v>244</v>
      </c>
      <c r="E383" s="420" t="s">
        <v>244</v>
      </c>
      <c r="F383" s="407">
        <v>1.431</v>
      </c>
      <c r="G383" s="128"/>
      <c r="H383" s="128"/>
      <c r="I383" s="7" t="s">
        <v>123</v>
      </c>
      <c r="J383" s="7" t="s">
        <v>420</v>
      </c>
      <c r="K383" s="405">
        <v>2024</v>
      </c>
      <c r="L383" s="406" t="s">
        <v>571</v>
      </c>
    </row>
    <row r="384" spans="1:12" x14ac:dyDescent="0.35">
      <c r="A384" s="7" t="s">
        <v>1151</v>
      </c>
      <c r="B384" s="403" t="s">
        <v>245</v>
      </c>
      <c r="C384" s="419" t="s">
        <v>245</v>
      </c>
      <c r="D384" s="419" t="s">
        <v>245</v>
      </c>
      <c r="E384" s="420" t="s">
        <v>245</v>
      </c>
      <c r="F384" s="407">
        <v>1.371</v>
      </c>
      <c r="G384" s="128"/>
      <c r="H384" s="128"/>
      <c r="I384" s="7" t="s">
        <v>123</v>
      </c>
      <c r="J384" s="7" t="s">
        <v>420</v>
      </c>
      <c r="K384" s="405">
        <v>2023</v>
      </c>
      <c r="L384" s="406" t="s">
        <v>571</v>
      </c>
    </row>
    <row r="385" spans="1:12" x14ac:dyDescent="0.35">
      <c r="A385" s="7" t="s">
        <v>1151</v>
      </c>
      <c r="B385" s="403" t="s">
        <v>246</v>
      </c>
      <c r="C385" s="419" t="s">
        <v>246</v>
      </c>
      <c r="D385" s="419" t="s">
        <v>246</v>
      </c>
      <c r="E385" s="420" t="s">
        <v>246</v>
      </c>
      <c r="F385" s="407">
        <v>2.024</v>
      </c>
      <c r="G385" s="128"/>
      <c r="H385" s="128"/>
      <c r="I385" s="7" t="s">
        <v>123</v>
      </c>
      <c r="J385" s="7" t="s">
        <v>420</v>
      </c>
      <c r="K385" s="405">
        <v>2024</v>
      </c>
      <c r="L385" s="406" t="s">
        <v>571</v>
      </c>
    </row>
    <row r="386" spans="1:12" x14ac:dyDescent="0.35">
      <c r="A386" s="7" t="s">
        <v>1151</v>
      </c>
      <c r="B386" s="403" t="s">
        <v>247</v>
      </c>
      <c r="C386" s="419" t="s">
        <v>247</v>
      </c>
      <c r="D386" s="419" t="s">
        <v>247</v>
      </c>
      <c r="E386" s="420" t="s">
        <v>247</v>
      </c>
      <c r="F386" s="407">
        <v>3.4169999999999998</v>
      </c>
      <c r="G386" s="128"/>
      <c r="H386" s="128"/>
      <c r="I386" s="7" t="s">
        <v>123</v>
      </c>
      <c r="J386" s="7" t="s">
        <v>420</v>
      </c>
      <c r="K386" s="405">
        <v>2024</v>
      </c>
      <c r="L386" s="406" t="s">
        <v>571</v>
      </c>
    </row>
    <row r="387" spans="1:12" x14ac:dyDescent="0.35">
      <c r="A387" s="7" t="s">
        <v>1151</v>
      </c>
      <c r="B387" s="403" t="s">
        <v>248</v>
      </c>
      <c r="C387" s="419" t="s">
        <v>248</v>
      </c>
      <c r="D387" s="419" t="s">
        <v>248</v>
      </c>
      <c r="E387" s="420" t="s">
        <v>248</v>
      </c>
      <c r="F387" s="407">
        <v>1.3800000000000002E-2</v>
      </c>
      <c r="G387" s="128"/>
      <c r="H387" s="128"/>
      <c r="I387" s="7" t="s">
        <v>123</v>
      </c>
      <c r="J387" s="7" t="s">
        <v>420</v>
      </c>
      <c r="K387" s="405">
        <v>2024</v>
      </c>
      <c r="L387" s="406" t="s">
        <v>571</v>
      </c>
    </row>
    <row r="388" spans="1:12" x14ac:dyDescent="0.35">
      <c r="A388" s="7" t="s">
        <v>1151</v>
      </c>
      <c r="B388" s="403" t="s">
        <v>249</v>
      </c>
      <c r="C388" s="419" t="s">
        <v>249</v>
      </c>
      <c r="D388" s="419" t="s">
        <v>249</v>
      </c>
      <c r="E388" s="420" t="s">
        <v>249</v>
      </c>
      <c r="F388" s="407">
        <v>0.105</v>
      </c>
      <c r="G388" s="128"/>
      <c r="H388" s="128"/>
      <c r="I388" s="7" t="s">
        <v>123</v>
      </c>
      <c r="J388" s="7" t="s">
        <v>420</v>
      </c>
      <c r="K388" s="405">
        <v>2024</v>
      </c>
      <c r="L388" s="406" t="s">
        <v>571</v>
      </c>
    </row>
    <row r="389" spans="1:12" x14ac:dyDescent="0.35">
      <c r="A389" s="7" t="s">
        <v>1151</v>
      </c>
      <c r="B389" s="403" t="s">
        <v>250</v>
      </c>
      <c r="C389" s="419" t="s">
        <v>250</v>
      </c>
      <c r="D389" s="419" t="s">
        <v>250</v>
      </c>
      <c r="E389" s="420" t="s">
        <v>250</v>
      </c>
      <c r="F389" s="407">
        <v>0.04</v>
      </c>
      <c r="G389" s="128"/>
      <c r="H389" s="128"/>
      <c r="I389" s="7" t="s">
        <v>123</v>
      </c>
      <c r="J389" s="7" t="s">
        <v>420</v>
      </c>
      <c r="K389" s="405">
        <v>2024</v>
      </c>
      <c r="L389" s="406" t="s">
        <v>571</v>
      </c>
    </row>
    <row r="390" spans="1:12" x14ac:dyDescent="0.35">
      <c r="A390" s="7" t="s">
        <v>1151</v>
      </c>
      <c r="B390" s="403" t="s">
        <v>251</v>
      </c>
      <c r="C390" s="419" t="s">
        <v>251</v>
      </c>
      <c r="D390" s="419" t="s">
        <v>251</v>
      </c>
      <c r="E390" s="420" t="s">
        <v>251</v>
      </c>
      <c r="F390" s="407">
        <v>3.0750000000000002</v>
      </c>
      <c r="G390" s="128"/>
      <c r="H390" s="128"/>
      <c r="I390" s="7" t="s">
        <v>123</v>
      </c>
      <c r="J390" s="7" t="s">
        <v>420</v>
      </c>
      <c r="K390" s="405">
        <v>2024</v>
      </c>
      <c r="L390" s="406" t="s">
        <v>571</v>
      </c>
    </row>
    <row r="391" spans="1:12" x14ac:dyDescent="0.35">
      <c r="A391" s="7" t="s">
        <v>1151</v>
      </c>
      <c r="B391" s="403" t="s">
        <v>252</v>
      </c>
      <c r="C391" s="419" t="s">
        <v>252</v>
      </c>
      <c r="D391" s="419" t="s">
        <v>252</v>
      </c>
      <c r="E391" s="420" t="s">
        <v>252</v>
      </c>
      <c r="F391" s="407">
        <v>2.7600000000000003E-2</v>
      </c>
      <c r="G391" s="128"/>
      <c r="H391" s="128"/>
      <c r="I391" s="7" t="s">
        <v>123</v>
      </c>
      <c r="J391" s="7" t="s">
        <v>420</v>
      </c>
      <c r="K391" s="405">
        <v>2024</v>
      </c>
      <c r="L391" s="406" t="s">
        <v>571</v>
      </c>
    </row>
    <row r="392" spans="1:12" x14ac:dyDescent="0.35">
      <c r="A392" s="7" t="s">
        <v>1151</v>
      </c>
      <c r="B392" s="403" t="s">
        <v>253</v>
      </c>
      <c r="C392" s="419" t="s">
        <v>253</v>
      </c>
      <c r="D392" s="419" t="s">
        <v>253</v>
      </c>
      <c r="E392" s="420" t="s">
        <v>253</v>
      </c>
      <c r="F392" s="407">
        <v>1.639</v>
      </c>
      <c r="G392" s="128"/>
      <c r="H392" s="128"/>
      <c r="I392" s="7" t="s">
        <v>123</v>
      </c>
      <c r="J392" s="7" t="s">
        <v>420</v>
      </c>
      <c r="K392" s="405">
        <v>2024</v>
      </c>
      <c r="L392" s="406" t="s">
        <v>571</v>
      </c>
    </row>
    <row r="393" spans="1:12" x14ac:dyDescent="0.35">
      <c r="A393" s="7" t="s">
        <v>1151</v>
      </c>
      <c r="B393" s="403" t="s">
        <v>254</v>
      </c>
      <c r="C393" s="419" t="s">
        <v>254</v>
      </c>
      <c r="D393" s="419" t="s">
        <v>254</v>
      </c>
      <c r="E393" s="420" t="s">
        <v>254</v>
      </c>
      <c r="F393" s="407">
        <v>2.0590000000000002</v>
      </c>
      <c r="G393" s="128"/>
      <c r="H393" s="128"/>
      <c r="I393" s="7" t="s">
        <v>123</v>
      </c>
      <c r="J393" s="7" t="s">
        <v>420</v>
      </c>
      <c r="K393" s="405">
        <v>2024</v>
      </c>
      <c r="L393" s="406" t="s">
        <v>571</v>
      </c>
    </row>
    <row r="394" spans="1:12" x14ac:dyDescent="0.35">
      <c r="A394" s="7" t="s">
        <v>1151</v>
      </c>
      <c r="B394" s="403" t="s">
        <v>255</v>
      </c>
      <c r="C394" s="419" t="s">
        <v>255</v>
      </c>
      <c r="D394" s="419" t="s">
        <v>255</v>
      </c>
      <c r="E394" s="420" t="s">
        <v>255</v>
      </c>
      <c r="F394" s="407">
        <v>1.8280000000000001</v>
      </c>
      <c r="G394" s="128"/>
      <c r="H394" s="128"/>
      <c r="I394" s="7" t="s">
        <v>123</v>
      </c>
      <c r="J394" s="7" t="s">
        <v>420</v>
      </c>
      <c r="K394" s="405">
        <v>2024</v>
      </c>
      <c r="L394" s="406" t="s">
        <v>571</v>
      </c>
    </row>
    <row r="395" spans="1:12" x14ac:dyDescent="0.35">
      <c r="A395" s="7" t="s">
        <v>1151</v>
      </c>
      <c r="B395" s="403" t="s">
        <v>256</v>
      </c>
      <c r="C395" s="419" t="s">
        <v>256</v>
      </c>
      <c r="D395" s="419" t="s">
        <v>256</v>
      </c>
      <c r="E395" s="420" t="s">
        <v>256</v>
      </c>
      <c r="F395" s="407">
        <v>0.156</v>
      </c>
      <c r="G395" s="128"/>
      <c r="H395" s="128"/>
      <c r="I395" s="7" t="s">
        <v>123</v>
      </c>
      <c r="J395" s="7" t="s">
        <v>420</v>
      </c>
      <c r="K395" s="405">
        <v>2024</v>
      </c>
      <c r="L395" s="406" t="s">
        <v>571</v>
      </c>
    </row>
    <row r="396" spans="1:12" x14ac:dyDescent="0.35">
      <c r="A396" s="7" t="s">
        <v>1151</v>
      </c>
      <c r="B396" s="403" t="s">
        <v>257</v>
      </c>
      <c r="C396" s="419" t="s">
        <v>257</v>
      </c>
      <c r="D396" s="419" t="s">
        <v>257</v>
      </c>
      <c r="E396" s="420" t="s">
        <v>257</v>
      </c>
      <c r="F396" s="407">
        <v>1.754</v>
      </c>
      <c r="G396" s="128"/>
      <c r="H396" s="128"/>
      <c r="I396" s="7" t="s">
        <v>123</v>
      </c>
      <c r="J396" s="7" t="s">
        <v>420</v>
      </c>
      <c r="K396" s="405">
        <v>2024</v>
      </c>
      <c r="L396" s="406" t="s">
        <v>571</v>
      </c>
    </row>
    <row r="397" spans="1:12" x14ac:dyDescent="0.35">
      <c r="A397" s="7" t="s">
        <v>1151</v>
      </c>
      <c r="B397" s="403" t="s">
        <v>258</v>
      </c>
      <c r="C397" s="419" t="s">
        <v>258</v>
      </c>
      <c r="D397" s="419" t="s">
        <v>258</v>
      </c>
      <c r="E397" s="420" t="s">
        <v>258</v>
      </c>
      <c r="F397" s="407">
        <v>8.7999999999999995E-2</v>
      </c>
      <c r="G397" s="128"/>
      <c r="H397" s="128"/>
      <c r="I397" s="7" t="s">
        <v>123</v>
      </c>
      <c r="J397" s="7" t="s">
        <v>420</v>
      </c>
      <c r="K397" s="405">
        <v>2024</v>
      </c>
      <c r="L397" s="406" t="s">
        <v>571</v>
      </c>
    </row>
    <row r="398" spans="1:12" x14ac:dyDescent="0.35">
      <c r="A398" s="7" t="s">
        <v>1151</v>
      </c>
      <c r="B398" s="403" t="s">
        <v>259</v>
      </c>
      <c r="C398" s="419" t="s">
        <v>259</v>
      </c>
      <c r="D398" s="419" t="s">
        <v>259</v>
      </c>
      <c r="E398" s="420" t="s">
        <v>259</v>
      </c>
      <c r="F398" s="407">
        <v>0.11700000000000001</v>
      </c>
      <c r="G398" s="128"/>
      <c r="H398" s="128"/>
      <c r="I398" s="7" t="s">
        <v>123</v>
      </c>
      <c r="J398" s="7" t="s">
        <v>420</v>
      </c>
      <c r="K398" s="405">
        <v>2024</v>
      </c>
      <c r="L398" s="406" t="s">
        <v>571</v>
      </c>
    </row>
    <row r="399" spans="1:12" x14ac:dyDescent="0.35">
      <c r="A399" s="7" t="s">
        <v>1151</v>
      </c>
      <c r="B399" s="403" t="s">
        <v>260</v>
      </c>
      <c r="C399" s="419" t="s">
        <v>260</v>
      </c>
      <c r="D399" s="419" t="s">
        <v>260</v>
      </c>
      <c r="E399" s="420" t="s">
        <v>260</v>
      </c>
      <c r="F399" s="407">
        <v>3.5999999999999997E-2</v>
      </c>
      <c r="G399" s="128"/>
      <c r="H399" s="128"/>
      <c r="I399" s="7" t="s">
        <v>123</v>
      </c>
      <c r="J399" s="7" t="s">
        <v>420</v>
      </c>
      <c r="K399" s="405">
        <v>2024</v>
      </c>
      <c r="L399" s="406" t="s">
        <v>571</v>
      </c>
    </row>
    <row r="400" spans="1:12" x14ac:dyDescent="0.35">
      <c r="A400" s="7" t="s">
        <v>1151</v>
      </c>
      <c r="B400" s="403" t="s">
        <v>261</v>
      </c>
      <c r="C400" s="419" t="s">
        <v>261</v>
      </c>
      <c r="D400" s="419" t="s">
        <v>261</v>
      </c>
      <c r="E400" s="420" t="s">
        <v>261</v>
      </c>
      <c r="F400" s="407">
        <v>4.9720000000000004</v>
      </c>
      <c r="G400" s="128"/>
      <c r="H400" s="128"/>
      <c r="I400" s="7" t="s">
        <v>123</v>
      </c>
      <c r="J400" s="7" t="s">
        <v>420</v>
      </c>
      <c r="K400" s="405">
        <v>2024</v>
      </c>
      <c r="L400" s="406" t="s">
        <v>571</v>
      </c>
    </row>
    <row r="401" spans="1:12" x14ac:dyDescent="0.35">
      <c r="A401" s="7" t="s">
        <v>1151</v>
      </c>
      <c r="B401" s="403" t="s">
        <v>262</v>
      </c>
      <c r="C401" s="419" t="s">
        <v>262</v>
      </c>
      <c r="D401" s="419" t="s">
        <v>262</v>
      </c>
      <c r="E401" s="420" t="s">
        <v>262</v>
      </c>
      <c r="F401" s="407">
        <v>0.32600000000000001</v>
      </c>
      <c r="G401" s="128"/>
      <c r="H401" s="128"/>
      <c r="I401" s="7" t="s">
        <v>123</v>
      </c>
      <c r="J401" s="7" t="s">
        <v>420</v>
      </c>
      <c r="K401" s="405">
        <v>2024</v>
      </c>
      <c r="L401" s="406" t="s">
        <v>571</v>
      </c>
    </row>
    <row r="402" spans="1:12" x14ac:dyDescent="0.35">
      <c r="A402" s="7" t="s">
        <v>1151</v>
      </c>
      <c r="B402" s="403" t="s">
        <v>263</v>
      </c>
      <c r="C402" s="419" t="s">
        <v>263</v>
      </c>
      <c r="D402" s="419" t="s">
        <v>263</v>
      </c>
      <c r="E402" s="420" t="s">
        <v>263</v>
      </c>
      <c r="F402" s="407">
        <v>3.9849999999999999</v>
      </c>
      <c r="G402" s="128"/>
      <c r="H402" s="128"/>
      <c r="I402" s="7" t="s">
        <v>123</v>
      </c>
      <c r="J402" s="7" t="s">
        <v>420</v>
      </c>
      <c r="K402" s="405">
        <v>2024</v>
      </c>
      <c r="L402" s="406" t="s">
        <v>571</v>
      </c>
    </row>
    <row r="403" spans="1:12" x14ac:dyDescent="0.35">
      <c r="A403" s="7" t="s">
        <v>1151</v>
      </c>
      <c r="B403" s="403" t="s">
        <v>264</v>
      </c>
      <c r="C403" s="419" t="s">
        <v>264</v>
      </c>
      <c r="D403" s="419" t="s">
        <v>264</v>
      </c>
      <c r="E403" s="420" t="s">
        <v>264</v>
      </c>
      <c r="F403" s="407">
        <v>11.606999999999999</v>
      </c>
      <c r="G403" s="128"/>
      <c r="H403" s="128"/>
      <c r="I403" s="7" t="s">
        <v>123</v>
      </c>
      <c r="J403" s="7" t="s">
        <v>420</v>
      </c>
      <c r="K403" s="405">
        <v>2024</v>
      </c>
      <c r="L403" s="406" t="s">
        <v>571</v>
      </c>
    </row>
    <row r="404" spans="1:12" x14ac:dyDescent="0.35">
      <c r="A404" s="7" t="s">
        <v>1151</v>
      </c>
      <c r="B404" s="403" t="s">
        <v>265</v>
      </c>
      <c r="C404" s="419" t="s">
        <v>265</v>
      </c>
      <c r="D404" s="419" t="s">
        <v>265</v>
      </c>
      <c r="E404" s="420" t="s">
        <v>265</v>
      </c>
      <c r="F404" s="407">
        <v>11.698</v>
      </c>
      <c r="G404" s="128"/>
      <c r="H404" s="128"/>
      <c r="I404" s="7" t="s">
        <v>123</v>
      </c>
      <c r="J404" s="7" t="s">
        <v>420</v>
      </c>
      <c r="K404" s="405">
        <v>2024</v>
      </c>
      <c r="L404" s="406" t="s">
        <v>571</v>
      </c>
    </row>
    <row r="405" spans="1:12" x14ac:dyDescent="0.35">
      <c r="A405" s="7" t="s">
        <v>1151</v>
      </c>
      <c r="B405" s="403" t="s">
        <v>266</v>
      </c>
      <c r="C405" s="419" t="s">
        <v>266</v>
      </c>
      <c r="D405" s="419" t="s">
        <v>266</v>
      </c>
      <c r="E405" s="420" t="s">
        <v>266</v>
      </c>
      <c r="F405" s="407">
        <v>4.984</v>
      </c>
      <c r="G405" s="128"/>
      <c r="H405" s="128"/>
      <c r="I405" s="7" t="s">
        <v>123</v>
      </c>
      <c r="J405" s="7" t="s">
        <v>420</v>
      </c>
      <c r="K405" s="405">
        <v>2024</v>
      </c>
      <c r="L405" s="406" t="s">
        <v>571</v>
      </c>
    </row>
    <row r="406" spans="1:12" x14ac:dyDescent="0.35">
      <c r="A406" s="7" t="s">
        <v>1151</v>
      </c>
      <c r="B406" s="403" t="s">
        <v>267</v>
      </c>
      <c r="C406" s="419" t="s">
        <v>267</v>
      </c>
      <c r="D406" s="419" t="s">
        <v>267</v>
      </c>
      <c r="E406" s="420" t="s">
        <v>267</v>
      </c>
      <c r="F406" s="407">
        <v>6.9000000000000008E-3</v>
      </c>
      <c r="G406" s="128"/>
      <c r="H406" s="128"/>
      <c r="I406" s="7" t="s">
        <v>123</v>
      </c>
      <c r="J406" s="7" t="s">
        <v>420</v>
      </c>
      <c r="K406" s="405">
        <v>2024</v>
      </c>
      <c r="L406" s="406" t="s">
        <v>571</v>
      </c>
    </row>
    <row r="407" spans="1:12" x14ac:dyDescent="0.35">
      <c r="A407" s="7" t="s">
        <v>1151</v>
      </c>
      <c r="B407" s="403" t="s">
        <v>268</v>
      </c>
      <c r="C407" s="419" t="s">
        <v>268</v>
      </c>
      <c r="D407" s="419" t="s">
        <v>268</v>
      </c>
      <c r="E407" s="420" t="s">
        <v>268</v>
      </c>
      <c r="F407" s="407">
        <v>0.19600000000000001</v>
      </c>
      <c r="G407" s="128"/>
      <c r="H407" s="128"/>
      <c r="I407" s="7" t="s">
        <v>123</v>
      </c>
      <c r="J407" s="7" t="s">
        <v>420</v>
      </c>
      <c r="K407" s="405">
        <v>2024</v>
      </c>
      <c r="L407" s="406" t="s">
        <v>571</v>
      </c>
    </row>
    <row r="408" spans="1:12" x14ac:dyDescent="0.35">
      <c r="A408" s="7" t="s">
        <v>1151</v>
      </c>
      <c r="B408" s="403" t="s">
        <v>97</v>
      </c>
      <c r="C408" s="419" t="s">
        <v>133</v>
      </c>
      <c r="D408" s="419" t="s">
        <v>97</v>
      </c>
      <c r="E408" s="420" t="s">
        <v>1167</v>
      </c>
      <c r="F408" s="407">
        <v>0</v>
      </c>
      <c r="G408" s="128"/>
      <c r="H408" s="128"/>
      <c r="I408" s="7" t="s">
        <v>123</v>
      </c>
      <c r="J408" s="7" t="s">
        <v>420</v>
      </c>
      <c r="K408" s="405">
        <v>2024</v>
      </c>
      <c r="L408" s="406" t="s">
        <v>571</v>
      </c>
    </row>
    <row r="409" spans="1:12" x14ac:dyDescent="0.35">
      <c r="A409" s="7" t="s">
        <v>1168</v>
      </c>
      <c r="B409" s="7" t="s">
        <v>1169</v>
      </c>
      <c r="C409" s="421" t="s">
        <v>1170</v>
      </c>
      <c r="D409" s="421" t="s">
        <v>1169</v>
      </c>
      <c r="E409" s="422" t="s">
        <v>1171</v>
      </c>
      <c r="F409" s="412">
        <v>7.0346057451361598E-4</v>
      </c>
      <c r="G409" s="128"/>
      <c r="H409" s="128"/>
      <c r="I409" s="7" t="s">
        <v>67</v>
      </c>
      <c r="J409" s="7" t="s">
        <v>420</v>
      </c>
      <c r="K409" s="405">
        <v>2022</v>
      </c>
      <c r="L409" s="406" t="s">
        <v>1172</v>
      </c>
    </row>
    <row r="410" spans="1:12" x14ac:dyDescent="0.35">
      <c r="A410" s="7" t="s">
        <v>1168</v>
      </c>
      <c r="B410" s="7" t="s">
        <v>1173</v>
      </c>
      <c r="C410" s="421" t="s">
        <v>1173</v>
      </c>
      <c r="D410" s="421" t="s">
        <v>1173</v>
      </c>
      <c r="E410" s="422" t="s">
        <v>1174</v>
      </c>
      <c r="F410" s="412">
        <v>1.1739728358692593E-3</v>
      </c>
      <c r="G410" s="128"/>
      <c r="H410" s="128"/>
      <c r="I410" s="7" t="s">
        <v>67</v>
      </c>
      <c r="J410" s="7" t="s">
        <v>420</v>
      </c>
      <c r="K410" s="405">
        <v>2022</v>
      </c>
      <c r="L410" s="406" t="s">
        <v>1172</v>
      </c>
    </row>
    <row r="411" spans="1:12" x14ac:dyDescent="0.35">
      <c r="A411" s="7" t="s">
        <v>1168</v>
      </c>
      <c r="B411" s="7" t="s">
        <v>1175</v>
      </c>
      <c r="C411" s="421" t="s">
        <v>1175</v>
      </c>
      <c r="D411" s="421" t="s">
        <v>1175</v>
      </c>
      <c r="E411" s="422" t="s">
        <v>1176</v>
      </c>
      <c r="F411" s="412">
        <v>1.3070876278911494E-3</v>
      </c>
      <c r="G411" s="128"/>
      <c r="H411" s="128"/>
      <c r="I411" s="7" t="s">
        <v>67</v>
      </c>
      <c r="J411" s="7" t="s">
        <v>420</v>
      </c>
      <c r="K411" s="405">
        <v>2022</v>
      </c>
      <c r="L411" s="406" t="s">
        <v>1172</v>
      </c>
    </row>
    <row r="412" spans="1:12" x14ac:dyDescent="0.35">
      <c r="A412" s="7" t="s">
        <v>313</v>
      </c>
      <c r="B412" s="403" t="s">
        <v>1177</v>
      </c>
      <c r="C412" s="419" t="s">
        <v>1178</v>
      </c>
      <c r="D412" s="419" t="s">
        <v>1177</v>
      </c>
      <c r="E412" s="420" t="s">
        <v>1179</v>
      </c>
      <c r="F412" s="407">
        <f>1/1000*0.13593*277.78</f>
        <v>3.7758635399999997E-2</v>
      </c>
      <c r="G412" s="78"/>
      <c r="H412" s="128"/>
      <c r="I412" s="7" t="s">
        <v>176</v>
      </c>
      <c r="J412" s="7" t="s">
        <v>420</v>
      </c>
      <c r="K412" s="405">
        <v>2020</v>
      </c>
      <c r="L412" s="413" t="s">
        <v>603</v>
      </c>
    </row>
    <row r="413" spans="1:12" x14ac:dyDescent="0.35">
      <c r="A413" s="7" t="s">
        <v>313</v>
      </c>
      <c r="B413" s="403" t="s">
        <v>1180</v>
      </c>
      <c r="C413" s="419" t="s">
        <v>1181</v>
      </c>
      <c r="D413" s="419" t="s">
        <v>1180</v>
      </c>
      <c r="E413" s="420" t="s">
        <v>1182</v>
      </c>
      <c r="F413" s="407">
        <f>1/1000*0.12357*277.78</f>
        <v>3.4325274599999997E-2</v>
      </c>
      <c r="G413" s="78"/>
      <c r="H413" s="128"/>
      <c r="I413" s="7" t="s">
        <v>176</v>
      </c>
      <c r="J413" s="7" t="s">
        <v>420</v>
      </c>
      <c r="K413" s="405">
        <v>2021</v>
      </c>
      <c r="L413" s="413" t="s">
        <v>603</v>
      </c>
    </row>
    <row r="414" spans="1:12" x14ac:dyDescent="0.35">
      <c r="A414" s="7" t="s">
        <v>313</v>
      </c>
      <c r="B414" s="403" t="s">
        <v>1183</v>
      </c>
      <c r="C414" s="419" t="s">
        <v>1184</v>
      </c>
      <c r="D414" s="419" t="s">
        <v>1183</v>
      </c>
      <c r="E414" s="420" t="s">
        <v>1185</v>
      </c>
      <c r="F414" s="407">
        <f>1/1000*0.13136*277.78</f>
        <v>3.64891808E-2</v>
      </c>
      <c r="G414" s="78"/>
      <c r="H414" s="128"/>
      <c r="I414" s="7" t="s">
        <v>176</v>
      </c>
      <c r="J414" s="7" t="s">
        <v>420</v>
      </c>
      <c r="K414" s="405">
        <v>2022</v>
      </c>
      <c r="L414" s="413" t="s">
        <v>603</v>
      </c>
    </row>
    <row r="415" spans="1:12" x14ac:dyDescent="0.35">
      <c r="A415" s="7" t="s">
        <v>313</v>
      </c>
      <c r="B415" s="403" t="s">
        <v>1186</v>
      </c>
      <c r="C415" s="419" t="s">
        <v>1187</v>
      </c>
      <c r="D415" s="419" t="s">
        <v>1186</v>
      </c>
      <c r="E415" s="420" t="s">
        <v>1188</v>
      </c>
      <c r="F415" s="407">
        <f>0.11462/1000*277.78</f>
        <v>3.1839143599999994E-2</v>
      </c>
      <c r="G415" s="78"/>
      <c r="H415" s="128"/>
      <c r="I415" s="7" t="s">
        <v>176</v>
      </c>
      <c r="J415" s="7" t="s">
        <v>420</v>
      </c>
      <c r="K415" s="405">
        <v>2023</v>
      </c>
      <c r="L415" s="413" t="s">
        <v>603</v>
      </c>
    </row>
    <row r="416" spans="1:12" x14ac:dyDescent="0.35">
      <c r="A416" s="7" t="s">
        <v>313</v>
      </c>
      <c r="B416" s="403" t="s">
        <v>1189</v>
      </c>
      <c r="C416" s="419" t="s">
        <v>1190</v>
      </c>
      <c r="D416" s="419" t="s">
        <v>1189</v>
      </c>
      <c r="E416" s="420" t="s">
        <v>1191</v>
      </c>
      <c r="F416" s="407">
        <f>0.11462/1000*277.78</f>
        <v>3.1839143599999994E-2</v>
      </c>
      <c r="G416" s="78"/>
      <c r="H416" s="128"/>
      <c r="I416" s="7" t="s">
        <v>176</v>
      </c>
      <c r="J416" s="7" t="s">
        <v>420</v>
      </c>
      <c r="K416" s="405">
        <v>2024</v>
      </c>
      <c r="L416" s="413" t="s">
        <v>603</v>
      </c>
    </row>
    <row r="417" spans="1:12" x14ac:dyDescent="0.35">
      <c r="A417" s="7" t="s">
        <v>313</v>
      </c>
      <c r="B417" s="403" t="s">
        <v>1192</v>
      </c>
      <c r="C417" s="419" t="s">
        <v>1193</v>
      </c>
      <c r="D417" s="419" t="s">
        <v>1192</v>
      </c>
      <c r="E417" s="420" t="s">
        <v>1194</v>
      </c>
      <c r="F417" s="407">
        <f>1/1000*0.13593</f>
        <v>1.3593000000000001E-4</v>
      </c>
      <c r="G417" s="78"/>
      <c r="H417" s="128"/>
      <c r="I417" s="7" t="s">
        <v>68</v>
      </c>
      <c r="J417" s="7" t="s">
        <v>420</v>
      </c>
      <c r="K417" s="405">
        <v>2020</v>
      </c>
      <c r="L417" s="413" t="s">
        <v>603</v>
      </c>
    </row>
    <row r="418" spans="1:12" x14ac:dyDescent="0.35">
      <c r="A418" s="7" t="s">
        <v>313</v>
      </c>
      <c r="B418" s="403" t="s">
        <v>1195</v>
      </c>
      <c r="C418" s="419" t="s">
        <v>1196</v>
      </c>
      <c r="D418" s="419" t="s">
        <v>1195</v>
      </c>
      <c r="E418" s="420" t="s">
        <v>1197</v>
      </c>
      <c r="F418" s="407">
        <f>1/1000*0.12357</f>
        <v>1.2357000000000001E-4</v>
      </c>
      <c r="G418" s="78"/>
      <c r="H418" s="128"/>
      <c r="I418" s="7" t="s">
        <v>68</v>
      </c>
      <c r="J418" s="7" t="s">
        <v>420</v>
      </c>
      <c r="K418" s="405">
        <v>2021</v>
      </c>
      <c r="L418" s="413" t="s">
        <v>603</v>
      </c>
    </row>
    <row r="419" spans="1:12" x14ac:dyDescent="0.35">
      <c r="A419" s="7" t="s">
        <v>313</v>
      </c>
      <c r="B419" s="403" t="s">
        <v>1198</v>
      </c>
      <c r="C419" s="419" t="s">
        <v>1199</v>
      </c>
      <c r="D419" s="419" t="s">
        <v>1198</v>
      </c>
      <c r="E419" s="420" t="s">
        <v>1200</v>
      </c>
      <c r="F419" s="407">
        <f>1/1000*0.13136</f>
        <v>1.3136000000000002E-4</v>
      </c>
      <c r="G419" s="78"/>
      <c r="H419" s="128"/>
      <c r="I419" s="7" t="s">
        <v>68</v>
      </c>
      <c r="J419" s="7" t="s">
        <v>420</v>
      </c>
      <c r="K419" s="405">
        <v>2022</v>
      </c>
      <c r="L419" s="413" t="s">
        <v>603</v>
      </c>
    </row>
    <row r="420" spans="1:12" x14ac:dyDescent="0.35">
      <c r="A420" s="7" t="s">
        <v>313</v>
      </c>
      <c r="B420" s="403" t="s">
        <v>1201</v>
      </c>
      <c r="C420" s="419" t="s">
        <v>1202</v>
      </c>
      <c r="D420" s="419" t="s">
        <v>1201</v>
      </c>
      <c r="E420" s="420" t="s">
        <v>1203</v>
      </c>
      <c r="F420" s="407">
        <f>0.11462/1000</f>
        <v>1.1462E-4</v>
      </c>
      <c r="G420" s="78"/>
      <c r="H420" s="128"/>
      <c r="I420" s="7" t="s">
        <v>68</v>
      </c>
      <c r="J420" s="7" t="s">
        <v>420</v>
      </c>
      <c r="K420" s="405">
        <v>2023</v>
      </c>
      <c r="L420" s="413" t="s">
        <v>603</v>
      </c>
    </row>
    <row r="421" spans="1:12" x14ac:dyDescent="0.35">
      <c r="A421" s="7" t="s">
        <v>313</v>
      </c>
      <c r="B421" s="403" t="s">
        <v>1204</v>
      </c>
      <c r="C421" s="419" t="s">
        <v>1205</v>
      </c>
      <c r="D421" s="419" t="s">
        <v>1204</v>
      </c>
      <c r="E421" s="420" t="s">
        <v>1206</v>
      </c>
      <c r="F421" s="407">
        <f>0.11462/1000</f>
        <v>1.1462E-4</v>
      </c>
      <c r="G421" s="78"/>
      <c r="H421" s="128"/>
      <c r="I421" s="7" t="s">
        <v>68</v>
      </c>
      <c r="J421" s="7" t="s">
        <v>420</v>
      </c>
      <c r="K421" s="405">
        <v>2024</v>
      </c>
      <c r="L421" s="413" t="s">
        <v>603</v>
      </c>
    </row>
    <row r="422" spans="1:12" x14ac:dyDescent="0.35">
      <c r="A422" s="7" t="s">
        <v>313</v>
      </c>
      <c r="B422" s="403" t="s">
        <v>1207</v>
      </c>
      <c r="C422" s="419" t="s">
        <v>1208</v>
      </c>
      <c r="D422" s="419" t="s">
        <v>1207</v>
      </c>
      <c r="E422" s="420" t="s">
        <v>1209</v>
      </c>
      <c r="F422" s="407">
        <v>0.13593</v>
      </c>
      <c r="G422" s="128"/>
      <c r="H422" s="128"/>
      <c r="I422" s="7" t="s">
        <v>72</v>
      </c>
      <c r="J422" s="7" t="s">
        <v>420</v>
      </c>
      <c r="K422" s="405">
        <v>2020</v>
      </c>
      <c r="L422" s="413" t="s">
        <v>603</v>
      </c>
    </row>
    <row r="423" spans="1:12" x14ac:dyDescent="0.35">
      <c r="A423" s="7" t="s">
        <v>313</v>
      </c>
      <c r="B423" s="403" t="s">
        <v>1210</v>
      </c>
      <c r="C423" s="419" t="s">
        <v>1211</v>
      </c>
      <c r="D423" s="419" t="s">
        <v>1210</v>
      </c>
      <c r="E423" s="420" t="s">
        <v>1212</v>
      </c>
      <c r="F423" s="407">
        <v>0.12357</v>
      </c>
      <c r="G423" s="128"/>
      <c r="H423" s="128"/>
      <c r="I423" s="7" t="s">
        <v>72</v>
      </c>
      <c r="J423" s="7" t="s">
        <v>420</v>
      </c>
      <c r="K423" s="405">
        <v>2021</v>
      </c>
      <c r="L423" s="413" t="s">
        <v>603</v>
      </c>
    </row>
    <row r="424" spans="1:12" x14ac:dyDescent="0.35">
      <c r="A424" s="7" t="s">
        <v>313</v>
      </c>
      <c r="B424" s="403" t="s">
        <v>1213</v>
      </c>
      <c r="C424" s="419" t="s">
        <v>1214</v>
      </c>
      <c r="D424" s="419" t="s">
        <v>1213</v>
      </c>
      <c r="E424" s="420" t="s">
        <v>1215</v>
      </c>
      <c r="F424" s="407">
        <v>0.13136</v>
      </c>
      <c r="G424" s="128"/>
      <c r="H424" s="128"/>
      <c r="I424" s="7" t="s">
        <v>72</v>
      </c>
      <c r="J424" s="7" t="s">
        <v>420</v>
      </c>
      <c r="K424" s="405">
        <v>2022</v>
      </c>
      <c r="L424" s="413" t="s">
        <v>603</v>
      </c>
    </row>
    <row r="425" spans="1:12" x14ac:dyDescent="0.35">
      <c r="A425" s="7" t="s">
        <v>313</v>
      </c>
      <c r="B425" s="403" t="s">
        <v>1216</v>
      </c>
      <c r="C425" s="419" t="s">
        <v>1217</v>
      </c>
      <c r="D425" s="419" t="s">
        <v>1216</v>
      </c>
      <c r="E425" s="420" t="s">
        <v>1218</v>
      </c>
      <c r="F425" s="407">
        <v>0.11462</v>
      </c>
      <c r="G425" s="128"/>
      <c r="H425" s="128"/>
      <c r="I425" s="7" t="s">
        <v>72</v>
      </c>
      <c r="J425" s="7" t="s">
        <v>420</v>
      </c>
      <c r="K425" s="405">
        <v>2023</v>
      </c>
      <c r="L425" s="413" t="s">
        <v>603</v>
      </c>
    </row>
    <row r="426" spans="1:12" x14ac:dyDescent="0.35">
      <c r="A426" s="7" t="s">
        <v>313</v>
      </c>
      <c r="B426" s="403" t="s">
        <v>1219</v>
      </c>
      <c r="C426" s="419" t="s">
        <v>1220</v>
      </c>
      <c r="D426" s="419" t="s">
        <v>1219</v>
      </c>
      <c r="E426" s="420" t="s">
        <v>1221</v>
      </c>
      <c r="F426" s="407">
        <v>0.11462</v>
      </c>
      <c r="G426" s="128"/>
      <c r="H426" s="128"/>
      <c r="I426" s="7" t="s">
        <v>72</v>
      </c>
      <c r="J426" s="7" t="s">
        <v>420</v>
      </c>
      <c r="K426" s="405">
        <v>2024</v>
      </c>
      <c r="L426" s="413" t="s">
        <v>603</v>
      </c>
    </row>
    <row r="427" spans="1:12" x14ac:dyDescent="0.35">
      <c r="A427" s="7" t="s">
        <v>313</v>
      </c>
      <c r="B427" s="7" t="s">
        <v>1222</v>
      </c>
      <c r="C427" s="421" t="s">
        <v>1222</v>
      </c>
      <c r="D427" s="421" t="s">
        <v>1222</v>
      </c>
      <c r="E427" s="422" t="s">
        <v>1223</v>
      </c>
      <c r="F427" s="412">
        <v>2.5305555555575798E-2</v>
      </c>
      <c r="G427" s="78"/>
      <c r="H427" s="128"/>
      <c r="I427" s="7" t="s">
        <v>176</v>
      </c>
      <c r="J427" s="7" t="s">
        <v>648</v>
      </c>
      <c r="K427" s="405">
        <v>2020</v>
      </c>
      <c r="L427" s="406" t="s">
        <v>649</v>
      </c>
    </row>
    <row r="428" spans="1:12" x14ac:dyDescent="0.35">
      <c r="A428" s="7" t="s">
        <v>313</v>
      </c>
      <c r="B428" s="7" t="s">
        <v>1224</v>
      </c>
      <c r="C428" s="421" t="s">
        <v>1224</v>
      </c>
      <c r="D428" s="421" t="s">
        <v>1224</v>
      </c>
      <c r="E428" s="422" t="s">
        <v>1225</v>
      </c>
      <c r="F428" s="412">
        <v>2.45000000000196E-2</v>
      </c>
      <c r="G428" s="78"/>
      <c r="H428" s="128"/>
      <c r="I428" s="7" t="s">
        <v>176</v>
      </c>
      <c r="J428" s="7" t="s">
        <v>648</v>
      </c>
      <c r="K428" s="405">
        <v>2021</v>
      </c>
      <c r="L428" s="406" t="s">
        <v>649</v>
      </c>
    </row>
    <row r="429" spans="1:12" x14ac:dyDescent="0.35">
      <c r="A429" s="7" t="s">
        <v>313</v>
      </c>
      <c r="B429" s="403" t="s">
        <v>1226</v>
      </c>
      <c r="C429" s="419" t="s">
        <v>1226</v>
      </c>
      <c r="D429" s="419" t="s">
        <v>1226</v>
      </c>
      <c r="E429" s="420" t="s">
        <v>1227</v>
      </c>
      <c r="F429" s="407">
        <v>2.0833499999999998E-2</v>
      </c>
      <c r="G429" s="78"/>
      <c r="H429" s="128"/>
      <c r="I429" s="7" t="s">
        <v>176</v>
      </c>
      <c r="J429" s="7" t="s">
        <v>648</v>
      </c>
      <c r="K429" s="405">
        <v>2022</v>
      </c>
      <c r="L429" s="406" t="s">
        <v>649</v>
      </c>
    </row>
    <row r="430" spans="1:12" x14ac:dyDescent="0.35">
      <c r="A430" s="7" t="s">
        <v>313</v>
      </c>
      <c r="B430" s="7" t="s">
        <v>1228</v>
      </c>
      <c r="C430" s="421" t="s">
        <v>1228</v>
      </c>
      <c r="D430" s="421" t="s">
        <v>1228</v>
      </c>
      <c r="E430" s="422" t="s">
        <v>1229</v>
      </c>
      <c r="F430" s="412">
        <f>277.78*0.0000721</f>
        <v>2.0027937999999999E-2</v>
      </c>
      <c r="G430" s="78"/>
      <c r="H430" s="128"/>
      <c r="I430" s="7" t="s">
        <v>176</v>
      </c>
      <c r="J430" s="7" t="s">
        <v>648</v>
      </c>
      <c r="K430" s="405">
        <v>2023</v>
      </c>
      <c r="L430" s="406" t="s">
        <v>649</v>
      </c>
    </row>
    <row r="431" spans="1:12" x14ac:dyDescent="0.35">
      <c r="A431" s="7" t="s">
        <v>313</v>
      </c>
      <c r="B431" s="7" t="s">
        <v>1230</v>
      </c>
      <c r="C431" s="421" t="s">
        <v>1230</v>
      </c>
      <c r="D431" s="421" t="s">
        <v>1230</v>
      </c>
      <c r="E431" s="422" t="s">
        <v>1231</v>
      </c>
      <c r="F431" s="412">
        <f>277.78*0.0000721</f>
        <v>2.0027937999999999E-2</v>
      </c>
      <c r="G431" s="78"/>
      <c r="H431" s="128"/>
      <c r="I431" s="7" t="s">
        <v>176</v>
      </c>
      <c r="J431" s="7" t="s">
        <v>648</v>
      </c>
      <c r="K431" s="405">
        <v>2024</v>
      </c>
      <c r="L431" s="406" t="s">
        <v>649</v>
      </c>
    </row>
    <row r="432" spans="1:12" x14ac:dyDescent="0.35">
      <c r="A432" s="7" t="s">
        <v>313</v>
      </c>
      <c r="B432" s="7" t="s">
        <v>1232</v>
      </c>
      <c r="C432" s="421" t="s">
        <v>1232</v>
      </c>
      <c r="D432" s="421" t="s">
        <v>1232</v>
      </c>
      <c r="E432" s="422" t="s">
        <v>1233</v>
      </c>
      <c r="F432" s="412">
        <v>9.1100000000000005E-5</v>
      </c>
      <c r="G432" s="78"/>
      <c r="H432" s="128"/>
      <c r="I432" s="7" t="s">
        <v>68</v>
      </c>
      <c r="J432" s="7" t="s">
        <v>648</v>
      </c>
      <c r="K432" s="405">
        <v>2020</v>
      </c>
      <c r="L432" s="406" t="s">
        <v>649</v>
      </c>
    </row>
    <row r="433" spans="1:12" x14ac:dyDescent="0.35">
      <c r="A433" s="7" t="s">
        <v>313</v>
      </c>
      <c r="B433" s="7" t="s">
        <v>1234</v>
      </c>
      <c r="C433" s="421" t="s">
        <v>1234</v>
      </c>
      <c r="D433" s="421" t="s">
        <v>1234</v>
      </c>
      <c r="E433" s="422" t="s">
        <v>1235</v>
      </c>
      <c r="F433" s="412">
        <v>8.8200000000000003E-5</v>
      </c>
      <c r="G433" s="78"/>
      <c r="H433" s="128"/>
      <c r="I433" s="7" t="s">
        <v>68</v>
      </c>
      <c r="J433" s="7" t="s">
        <v>648</v>
      </c>
      <c r="K433" s="405">
        <v>2021</v>
      </c>
      <c r="L433" s="406" t="s">
        <v>649</v>
      </c>
    </row>
    <row r="434" spans="1:12" x14ac:dyDescent="0.35">
      <c r="A434" s="7" t="s">
        <v>313</v>
      </c>
      <c r="B434" s="403" t="s">
        <v>1236</v>
      </c>
      <c r="C434" s="419" t="s">
        <v>1236</v>
      </c>
      <c r="D434" s="419" t="s">
        <v>1236</v>
      </c>
      <c r="E434" s="420" t="s">
        <v>1237</v>
      </c>
      <c r="F434" s="407">
        <v>7.4999999999999993E-5</v>
      </c>
      <c r="G434" s="78"/>
      <c r="H434" s="128"/>
      <c r="I434" s="7" t="s">
        <v>68</v>
      </c>
      <c r="J434" s="7" t="s">
        <v>648</v>
      </c>
      <c r="K434" s="405">
        <v>2022</v>
      </c>
      <c r="L434" s="406" t="s">
        <v>649</v>
      </c>
    </row>
    <row r="435" spans="1:12" x14ac:dyDescent="0.35">
      <c r="A435" s="7" t="s">
        <v>313</v>
      </c>
      <c r="B435" s="7" t="s">
        <v>1238</v>
      </c>
      <c r="C435" s="421" t="s">
        <v>1238</v>
      </c>
      <c r="D435" s="421" t="s">
        <v>1238</v>
      </c>
      <c r="E435" s="422" t="s">
        <v>1239</v>
      </c>
      <c r="F435" s="412">
        <v>7.2099999999999991E-5</v>
      </c>
      <c r="G435" s="78"/>
      <c r="H435" s="128"/>
      <c r="I435" s="7" t="s">
        <v>68</v>
      </c>
      <c r="J435" s="7" t="s">
        <v>648</v>
      </c>
      <c r="K435" s="405">
        <v>2023</v>
      </c>
      <c r="L435" s="406" t="s">
        <v>649</v>
      </c>
    </row>
    <row r="436" spans="1:12" x14ac:dyDescent="0.35">
      <c r="A436" s="7" t="s">
        <v>313</v>
      </c>
      <c r="B436" s="7" t="s">
        <v>1240</v>
      </c>
      <c r="C436" s="421" t="s">
        <v>1240</v>
      </c>
      <c r="D436" s="421" t="s">
        <v>1240</v>
      </c>
      <c r="E436" s="422" t="s">
        <v>1241</v>
      </c>
      <c r="F436" s="412">
        <v>7.2099999999999991E-5</v>
      </c>
      <c r="G436" s="78"/>
      <c r="H436" s="128"/>
      <c r="I436" s="7" t="s">
        <v>68</v>
      </c>
      <c r="J436" s="7" t="s">
        <v>648</v>
      </c>
      <c r="K436" s="405">
        <v>2024</v>
      </c>
      <c r="L436" s="406" t="s">
        <v>649</v>
      </c>
    </row>
    <row r="437" spans="1:12" x14ac:dyDescent="0.35">
      <c r="A437" s="7" t="s">
        <v>313</v>
      </c>
      <c r="B437" s="7" t="s">
        <v>1242</v>
      </c>
      <c r="C437" s="421" t="s">
        <v>1242</v>
      </c>
      <c r="D437" s="421" t="s">
        <v>1242</v>
      </c>
      <c r="E437" s="422" t="s">
        <v>1243</v>
      </c>
      <c r="F437" s="412">
        <v>9.11E-2</v>
      </c>
      <c r="G437" s="128"/>
      <c r="H437" s="128"/>
      <c r="I437" s="7" t="s">
        <v>72</v>
      </c>
      <c r="J437" s="7" t="s">
        <v>648</v>
      </c>
      <c r="K437" s="405">
        <v>2020</v>
      </c>
      <c r="L437" s="406" t="s">
        <v>649</v>
      </c>
    </row>
    <row r="438" spans="1:12" x14ac:dyDescent="0.35">
      <c r="A438" s="7" t="s">
        <v>313</v>
      </c>
      <c r="B438" s="7" t="s">
        <v>1244</v>
      </c>
      <c r="C438" s="421" t="s">
        <v>1244</v>
      </c>
      <c r="D438" s="421" t="s">
        <v>1244</v>
      </c>
      <c r="E438" s="422" t="s">
        <v>1245</v>
      </c>
      <c r="F438" s="412">
        <v>8.8200000000000001E-2</v>
      </c>
      <c r="G438" s="128"/>
      <c r="H438" s="128"/>
      <c r="I438" s="7" t="s">
        <v>72</v>
      </c>
      <c r="J438" s="7" t="s">
        <v>648</v>
      </c>
      <c r="K438" s="405">
        <v>2021</v>
      </c>
      <c r="L438" s="406" t="s">
        <v>649</v>
      </c>
    </row>
    <row r="439" spans="1:12" x14ac:dyDescent="0.35">
      <c r="A439" s="7" t="s">
        <v>313</v>
      </c>
      <c r="B439" s="403" t="s">
        <v>1246</v>
      </c>
      <c r="C439" s="419" t="s">
        <v>1246</v>
      </c>
      <c r="D439" s="419" t="s">
        <v>1246</v>
      </c>
      <c r="E439" s="420" t="s">
        <v>1247</v>
      </c>
      <c r="F439" s="407">
        <v>7.4999999999999997E-2</v>
      </c>
      <c r="G439" s="128"/>
      <c r="H439" s="128"/>
      <c r="I439" s="7" t="s">
        <v>72</v>
      </c>
      <c r="J439" s="7" t="s">
        <v>648</v>
      </c>
      <c r="K439" s="405">
        <v>2022</v>
      </c>
      <c r="L439" s="406" t="s">
        <v>649</v>
      </c>
    </row>
    <row r="440" spans="1:12" x14ac:dyDescent="0.35">
      <c r="A440" s="7" t="s">
        <v>313</v>
      </c>
      <c r="B440" s="7" t="s">
        <v>1248</v>
      </c>
      <c r="C440" s="421" t="s">
        <v>1248</v>
      </c>
      <c r="D440" s="421" t="s">
        <v>1248</v>
      </c>
      <c r="E440" s="422" t="s">
        <v>1249</v>
      </c>
      <c r="F440" s="412">
        <v>7.2099999999999997E-2</v>
      </c>
      <c r="G440" s="128"/>
      <c r="H440" s="128"/>
      <c r="I440" s="7" t="s">
        <v>72</v>
      </c>
      <c r="J440" s="7" t="s">
        <v>648</v>
      </c>
      <c r="K440" s="405">
        <v>2023</v>
      </c>
      <c r="L440" s="406" t="s">
        <v>649</v>
      </c>
    </row>
    <row r="441" spans="1:12" x14ac:dyDescent="0.35">
      <c r="A441" s="7" t="s">
        <v>313</v>
      </c>
      <c r="B441" s="7" t="s">
        <v>1250</v>
      </c>
      <c r="C441" s="421" t="s">
        <v>1250</v>
      </c>
      <c r="D441" s="421" t="s">
        <v>1250</v>
      </c>
      <c r="E441" s="422" t="s">
        <v>1251</v>
      </c>
      <c r="F441" s="412">
        <v>7.2099999999999997E-2</v>
      </c>
      <c r="G441" s="128"/>
      <c r="H441" s="128"/>
      <c r="I441" s="7" t="s">
        <v>72</v>
      </c>
      <c r="J441" s="7" t="s">
        <v>648</v>
      </c>
      <c r="K441" s="405">
        <v>2024</v>
      </c>
      <c r="L441" s="406" t="s">
        <v>649</v>
      </c>
    </row>
    <row r="442" spans="1:12" x14ac:dyDescent="0.35">
      <c r="A442" s="7" t="s">
        <v>313</v>
      </c>
      <c r="B442" s="7" t="s">
        <v>1252</v>
      </c>
      <c r="C442" s="421" t="s">
        <v>1252</v>
      </c>
      <c r="D442" s="421" t="s">
        <v>1252</v>
      </c>
      <c r="E442" s="422" t="s">
        <v>1253</v>
      </c>
      <c r="F442" s="412">
        <v>2.7777777777799998E-2</v>
      </c>
      <c r="G442" s="78"/>
      <c r="H442" s="128"/>
      <c r="I442" s="7" t="s">
        <v>176</v>
      </c>
      <c r="J442" s="7" t="s">
        <v>420</v>
      </c>
      <c r="K442" s="405">
        <v>2020</v>
      </c>
      <c r="L442" s="406" t="s">
        <v>680</v>
      </c>
    </row>
    <row r="443" spans="1:12" x14ac:dyDescent="0.35">
      <c r="A443" s="7" t="s">
        <v>313</v>
      </c>
      <c r="B443" s="7" t="s">
        <v>1254</v>
      </c>
      <c r="C443" s="421" t="s">
        <v>1254</v>
      </c>
      <c r="D443" s="421" t="s">
        <v>1254</v>
      </c>
      <c r="E443" s="422" t="s">
        <v>1255</v>
      </c>
      <c r="F443" s="412">
        <v>2.7777777777799998E-2</v>
      </c>
      <c r="G443" s="78"/>
      <c r="H443" s="128"/>
      <c r="I443" s="7" t="s">
        <v>176</v>
      </c>
      <c r="J443" s="7" t="s">
        <v>420</v>
      </c>
      <c r="K443" s="405">
        <v>2021</v>
      </c>
      <c r="L443" s="406" t="s">
        <v>680</v>
      </c>
    </row>
    <row r="444" spans="1:12" x14ac:dyDescent="0.35">
      <c r="A444" s="7" t="s">
        <v>313</v>
      </c>
      <c r="B444" s="7" t="s">
        <v>1256</v>
      </c>
      <c r="C444" s="421" t="s">
        <v>1256</v>
      </c>
      <c r="D444" s="421" t="s">
        <v>1256</v>
      </c>
      <c r="E444" s="422" t="s">
        <v>1257</v>
      </c>
      <c r="F444" s="412">
        <v>2.7777777777799998E-2</v>
      </c>
      <c r="G444" s="78"/>
      <c r="H444" s="128"/>
      <c r="I444" s="7" t="s">
        <v>176</v>
      </c>
      <c r="J444" s="7" t="s">
        <v>420</v>
      </c>
      <c r="K444" s="405">
        <v>2022</v>
      </c>
      <c r="L444" s="406" t="s">
        <v>680</v>
      </c>
    </row>
    <row r="445" spans="1:12" x14ac:dyDescent="0.35">
      <c r="A445" s="7" t="s">
        <v>313</v>
      </c>
      <c r="B445" s="7" t="s">
        <v>1258</v>
      </c>
      <c r="C445" s="421" t="s">
        <v>1258</v>
      </c>
      <c r="D445" s="421" t="s">
        <v>1258</v>
      </c>
      <c r="E445" s="422" t="s">
        <v>1259</v>
      </c>
      <c r="F445" s="412">
        <v>2.7777777777799998E-2</v>
      </c>
      <c r="G445" s="78"/>
      <c r="H445" s="128"/>
      <c r="I445" s="7" t="s">
        <v>176</v>
      </c>
      <c r="J445" s="7" t="s">
        <v>420</v>
      </c>
      <c r="K445" s="405">
        <v>2023</v>
      </c>
      <c r="L445" s="406" t="s">
        <v>680</v>
      </c>
    </row>
    <row r="446" spans="1:12" x14ac:dyDescent="0.35">
      <c r="A446" s="7" t="s">
        <v>313</v>
      </c>
      <c r="B446" s="7" t="s">
        <v>1260</v>
      </c>
      <c r="C446" s="421" t="s">
        <v>1260</v>
      </c>
      <c r="D446" s="421" t="s">
        <v>1260</v>
      </c>
      <c r="E446" s="422" t="s">
        <v>1261</v>
      </c>
      <c r="F446" s="412">
        <v>2.7777777777799998E-2</v>
      </c>
      <c r="G446" s="78"/>
      <c r="H446" s="128"/>
      <c r="I446" s="7" t="s">
        <v>176</v>
      </c>
      <c r="J446" s="7" t="s">
        <v>420</v>
      </c>
      <c r="K446" s="405">
        <v>2024</v>
      </c>
      <c r="L446" s="406" t="s">
        <v>680</v>
      </c>
    </row>
    <row r="447" spans="1:12" x14ac:dyDescent="0.35">
      <c r="A447" s="7" t="s">
        <v>313</v>
      </c>
      <c r="B447" s="7" t="s">
        <v>1262</v>
      </c>
      <c r="C447" s="421" t="s">
        <v>1262</v>
      </c>
      <c r="D447" s="421" t="s">
        <v>1262</v>
      </c>
      <c r="E447" s="422" t="s">
        <v>1263</v>
      </c>
      <c r="F447" s="412">
        <v>1E-4</v>
      </c>
      <c r="G447" s="78"/>
      <c r="H447" s="128"/>
      <c r="I447" s="7" t="s">
        <v>68</v>
      </c>
      <c r="J447" s="7" t="s">
        <v>420</v>
      </c>
      <c r="K447" s="405">
        <v>2020</v>
      </c>
      <c r="L447" s="406" t="s">
        <v>680</v>
      </c>
    </row>
    <row r="448" spans="1:12" x14ac:dyDescent="0.35">
      <c r="A448" s="7" t="s">
        <v>313</v>
      </c>
      <c r="B448" s="7" t="s">
        <v>1264</v>
      </c>
      <c r="C448" s="421" t="s">
        <v>1264</v>
      </c>
      <c r="D448" s="421" t="s">
        <v>1264</v>
      </c>
      <c r="E448" s="422" t="s">
        <v>1265</v>
      </c>
      <c r="F448" s="412">
        <v>1E-4</v>
      </c>
      <c r="G448" s="78"/>
      <c r="H448" s="128"/>
      <c r="I448" s="7" t="s">
        <v>68</v>
      </c>
      <c r="J448" s="7" t="s">
        <v>420</v>
      </c>
      <c r="K448" s="405">
        <v>2021</v>
      </c>
      <c r="L448" s="406" t="s">
        <v>680</v>
      </c>
    </row>
    <row r="449" spans="1:12" x14ac:dyDescent="0.35">
      <c r="A449" s="7" t="s">
        <v>313</v>
      </c>
      <c r="B449" s="7" t="s">
        <v>1266</v>
      </c>
      <c r="C449" s="421" t="s">
        <v>1266</v>
      </c>
      <c r="D449" s="421" t="s">
        <v>1266</v>
      </c>
      <c r="E449" s="422" t="s">
        <v>1267</v>
      </c>
      <c r="F449" s="412">
        <v>1E-4</v>
      </c>
      <c r="G449" s="78"/>
      <c r="H449" s="128"/>
      <c r="I449" s="7" t="s">
        <v>68</v>
      </c>
      <c r="J449" s="7" t="s">
        <v>420</v>
      </c>
      <c r="K449" s="405">
        <v>2022</v>
      </c>
      <c r="L449" s="406" t="s">
        <v>680</v>
      </c>
    </row>
    <row r="450" spans="1:12" x14ac:dyDescent="0.35">
      <c r="A450" s="7" t="s">
        <v>313</v>
      </c>
      <c r="B450" s="7" t="s">
        <v>1268</v>
      </c>
      <c r="C450" s="421" t="s">
        <v>1268</v>
      </c>
      <c r="D450" s="421" t="s">
        <v>1268</v>
      </c>
      <c r="E450" s="422" t="s">
        <v>1269</v>
      </c>
      <c r="F450" s="412">
        <v>1E-4</v>
      </c>
      <c r="G450" s="78"/>
      <c r="H450" s="128"/>
      <c r="I450" s="7" t="s">
        <v>68</v>
      </c>
      <c r="J450" s="7" t="s">
        <v>420</v>
      </c>
      <c r="K450" s="405">
        <v>2023</v>
      </c>
      <c r="L450" s="406" t="s">
        <v>680</v>
      </c>
    </row>
    <row r="451" spans="1:12" x14ac:dyDescent="0.35">
      <c r="A451" s="7" t="s">
        <v>313</v>
      </c>
      <c r="B451" s="7" t="s">
        <v>1270</v>
      </c>
      <c r="C451" s="421" t="s">
        <v>1270</v>
      </c>
      <c r="D451" s="421" t="s">
        <v>1270</v>
      </c>
      <c r="E451" s="422" t="s">
        <v>1271</v>
      </c>
      <c r="F451" s="412">
        <v>1E-4</v>
      </c>
      <c r="G451" s="78"/>
      <c r="H451" s="128"/>
      <c r="I451" s="7" t="s">
        <v>68</v>
      </c>
      <c r="J451" s="7" t="s">
        <v>420</v>
      </c>
      <c r="K451" s="405">
        <v>2024</v>
      </c>
      <c r="L451" s="406" t="s">
        <v>680</v>
      </c>
    </row>
    <row r="452" spans="1:12" x14ac:dyDescent="0.35">
      <c r="A452" s="7" t="s">
        <v>313</v>
      </c>
      <c r="B452" s="7" t="s">
        <v>1272</v>
      </c>
      <c r="C452" s="421" t="s">
        <v>1272</v>
      </c>
      <c r="D452" s="421" t="s">
        <v>1272</v>
      </c>
      <c r="E452" s="422" t="s">
        <v>1273</v>
      </c>
      <c r="F452" s="412">
        <v>0.1</v>
      </c>
      <c r="G452" s="128"/>
      <c r="H452" s="128"/>
      <c r="I452" s="7" t="s">
        <v>72</v>
      </c>
      <c r="J452" s="7" t="s">
        <v>420</v>
      </c>
      <c r="K452" s="405">
        <v>2020</v>
      </c>
      <c r="L452" s="406" t="s">
        <v>680</v>
      </c>
    </row>
    <row r="453" spans="1:12" x14ac:dyDescent="0.35">
      <c r="A453" s="7" t="s">
        <v>313</v>
      </c>
      <c r="B453" s="7" t="s">
        <v>1274</v>
      </c>
      <c r="C453" s="421" t="s">
        <v>1274</v>
      </c>
      <c r="D453" s="421" t="s">
        <v>1274</v>
      </c>
      <c r="E453" s="422" t="s">
        <v>1275</v>
      </c>
      <c r="F453" s="412">
        <v>0.1</v>
      </c>
      <c r="G453" s="128"/>
      <c r="H453" s="128"/>
      <c r="I453" s="7" t="s">
        <v>72</v>
      </c>
      <c r="J453" s="7" t="s">
        <v>420</v>
      </c>
      <c r="K453" s="405">
        <v>2021</v>
      </c>
      <c r="L453" s="406" t="s">
        <v>680</v>
      </c>
    </row>
    <row r="454" spans="1:12" x14ac:dyDescent="0.35">
      <c r="A454" s="7" t="s">
        <v>313</v>
      </c>
      <c r="B454" s="7" t="s">
        <v>1276</v>
      </c>
      <c r="C454" s="421" t="s">
        <v>1276</v>
      </c>
      <c r="D454" s="421" t="s">
        <v>1276</v>
      </c>
      <c r="E454" s="422" t="s">
        <v>1277</v>
      </c>
      <c r="F454" s="412">
        <v>0.1</v>
      </c>
      <c r="G454" s="128"/>
      <c r="H454" s="128"/>
      <c r="I454" s="7" t="s">
        <v>72</v>
      </c>
      <c r="J454" s="7" t="s">
        <v>420</v>
      </c>
      <c r="K454" s="405">
        <v>2022</v>
      </c>
      <c r="L454" s="406" t="s">
        <v>680</v>
      </c>
    </row>
    <row r="455" spans="1:12" x14ac:dyDescent="0.35">
      <c r="A455" s="7" t="s">
        <v>313</v>
      </c>
      <c r="B455" s="7" t="s">
        <v>1278</v>
      </c>
      <c r="C455" s="421" t="s">
        <v>1278</v>
      </c>
      <c r="D455" s="421" t="s">
        <v>1278</v>
      </c>
      <c r="E455" s="422" t="s">
        <v>1279</v>
      </c>
      <c r="F455" s="412">
        <v>0.1</v>
      </c>
      <c r="G455" s="128"/>
      <c r="H455" s="128"/>
      <c r="I455" s="7" t="s">
        <v>72</v>
      </c>
      <c r="J455" s="7" t="s">
        <v>420</v>
      </c>
      <c r="K455" s="405">
        <v>2023</v>
      </c>
      <c r="L455" s="406" t="s">
        <v>680</v>
      </c>
    </row>
    <row r="456" spans="1:12" x14ac:dyDescent="0.35">
      <c r="A456" s="7" t="s">
        <v>313</v>
      </c>
      <c r="B456" s="7" t="s">
        <v>1280</v>
      </c>
      <c r="C456" s="421" t="s">
        <v>1280</v>
      </c>
      <c r="D456" s="421" t="s">
        <v>1280</v>
      </c>
      <c r="E456" s="422" t="s">
        <v>1281</v>
      </c>
      <c r="F456" s="412">
        <v>0.1</v>
      </c>
      <c r="G456" s="128"/>
      <c r="H456" s="128"/>
      <c r="I456" s="7" t="s">
        <v>72</v>
      </c>
      <c r="J456" s="7" t="s">
        <v>420</v>
      </c>
      <c r="K456" s="405">
        <v>2024</v>
      </c>
      <c r="L456" s="406" t="s">
        <v>680</v>
      </c>
    </row>
  </sheetData>
  <autoFilter ref="A1:L456" xr:uid="{289F4699-7F9E-4497-8387-81D82C2396BE}"/>
  <phoneticPr fontId="12" type="noConversion"/>
  <dataValidations count="1">
    <dataValidation allowBlank="1" showInputMessage="1" showErrorMessage="1" sqref="H18" xr:uid="{E365613E-A539-4F1C-AAF0-C96804A8A248}"/>
  </dataValidations>
  <hyperlinks>
    <hyperlink ref="L17" r:id="rId1" display="https://environment.govt.nz/assets/publications/Measuring-Emissions-Guidance_DetailedGuide_2023_ME1764.pdf" xr:uid="{7FEA803F-EC6C-4031-A75E-B12E5568D7B4}"/>
    <hyperlink ref="L59" r:id="rId2" location="/emission-factors/inventory-emission-factors/i_heat_EF (access: 31/01/2025)" display="https://kasvuhoonegaasid.ee/#/emission-factors/inventory-emission-factors/i_heat_EF (access: 31/01/2025)" xr:uid="{6F156572-BFD3-4F2D-8F65-1844F9709F9B}"/>
    <hyperlink ref="L60:L73" r:id="rId3" location="/emission-factors/inventory-emission-factors/i_heat_EF (access: 31/01/2025)" display="https://kasvuhoonegaasid.ee/#/emission-factors/inventory-emission-factors/i_heat_EF (access: 31/01/2025)" xr:uid="{5139F42B-19A7-48FD-BD38-C2C34426D314}"/>
    <hyperlink ref="L104:L118" r:id="rId4" location="/emission-factors/inventory-emission-factors/i_heat_EF (access: 31/01/2025)" display="https://kasvuhoonegaasid.ee/#/emission-factors/inventory-emission-factors/i_heat_EF (access: 31/01/2025)" xr:uid="{D421C6B8-5711-4A65-8EF2-F18741193C53}"/>
    <hyperlink ref="L412:L426" r:id="rId5" location="/emission-factors/inventory-emission-factors/i_heat_EF (access: 31/01/2025)" display="https://kasvuhoonegaasid.ee/#/emission-factors/inventory-emission-factors/i_heat_EF (access: 31/01/2025)" xr:uid="{CF146117-27F7-4326-A4C9-111D177B208B}"/>
  </hyperlinks>
  <pageMargins left="0.7" right="0.7" top="0.75" bottom="0.75" header="0.3" footer="0.3"/>
  <pageSetup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A66B-C5EF-41E8-B8E5-B8A73C5DFC09}">
  <sheetPr>
    <tabColor theme="0" tint="-0.249977111117893"/>
  </sheetPr>
  <dimension ref="A1:M35"/>
  <sheetViews>
    <sheetView workbookViewId="0">
      <selection activeCell="H86" sqref="H86"/>
    </sheetView>
  </sheetViews>
  <sheetFormatPr defaultColWidth="0" defaultRowHeight="14.5" zeroHeight="1" x14ac:dyDescent="0.35"/>
  <cols>
    <col min="1" max="1" width="8.7265625" style="70" customWidth="1"/>
    <col min="2" max="2" width="13.1796875" style="70" bestFit="1" customWidth="1"/>
    <col min="3" max="12" width="12.54296875" style="70" customWidth="1"/>
    <col min="13" max="13" width="12.54296875" hidden="1" customWidth="1"/>
    <col min="14" max="16384" width="8.7265625" hidden="1"/>
  </cols>
  <sheetData>
    <row r="1" spans="2:11" x14ac:dyDescent="0.35"/>
    <row r="2" spans="2:11" x14ac:dyDescent="0.35">
      <c r="B2" s="626" t="s">
        <v>1282</v>
      </c>
      <c r="C2" s="623" t="s">
        <v>1283</v>
      </c>
      <c r="D2" s="623"/>
      <c r="E2" s="623"/>
      <c r="F2" s="623" t="s">
        <v>1284</v>
      </c>
      <c r="G2" s="623"/>
      <c r="H2" s="623"/>
      <c r="I2" s="623" t="s">
        <v>1285</v>
      </c>
      <c r="J2" s="623"/>
      <c r="K2" s="623"/>
    </row>
    <row r="3" spans="2:11" x14ac:dyDescent="0.35">
      <c r="B3" s="626"/>
      <c r="C3" s="126" t="s">
        <v>414</v>
      </c>
      <c r="D3" s="126" t="s">
        <v>398</v>
      </c>
      <c r="E3" s="126" t="s">
        <v>96</v>
      </c>
      <c r="F3" s="126" t="s">
        <v>414</v>
      </c>
      <c r="G3" s="126" t="s">
        <v>398</v>
      </c>
      <c r="H3" s="126" t="s">
        <v>96</v>
      </c>
      <c r="I3" s="126" t="s">
        <v>414</v>
      </c>
      <c r="J3" s="126" t="s">
        <v>398</v>
      </c>
      <c r="K3" s="126" t="s">
        <v>96</v>
      </c>
    </row>
    <row r="4" spans="2:11" x14ac:dyDescent="0.35">
      <c r="B4" s="126">
        <v>2020</v>
      </c>
      <c r="C4" s="316">
        <v>1.2531599999999998</v>
      </c>
      <c r="D4" s="316">
        <v>1.0955999999999997</v>
      </c>
      <c r="E4" s="316">
        <v>0.61037999999999992</v>
      </c>
      <c r="F4" s="316">
        <v>1.1444834000000002</v>
      </c>
      <c r="G4" s="316">
        <v>1.046805</v>
      </c>
      <c r="H4" s="316">
        <v>0.52611499999999978</v>
      </c>
      <c r="I4" s="316">
        <v>1.0973624000000002</v>
      </c>
      <c r="J4" s="316">
        <v>0.99578980000000006</v>
      </c>
      <c r="K4" s="316">
        <v>0.51416620000000013</v>
      </c>
    </row>
    <row r="5" spans="2:11" x14ac:dyDescent="0.35">
      <c r="B5" s="126">
        <v>2021</v>
      </c>
      <c r="C5" s="316">
        <v>1.4264897959183678</v>
      </c>
      <c r="D5" s="316">
        <v>1.23830612244898</v>
      </c>
      <c r="E5" s="316">
        <v>0.70969387755102054</v>
      </c>
      <c r="F5" s="316">
        <v>1.3378542857142859</v>
      </c>
      <c r="G5" s="316">
        <v>1.2297677551020407</v>
      </c>
      <c r="H5" s="316">
        <v>0.64924183673469382</v>
      </c>
      <c r="I5" s="316">
        <v>1.2827112244897958</v>
      </c>
      <c r="J5" s="316">
        <v>1.1795610204081635</v>
      </c>
      <c r="K5" s="316">
        <v>0.63310469387755108</v>
      </c>
    </row>
    <row r="6" spans="2:11" x14ac:dyDescent="0.35">
      <c r="B6" s="126">
        <v>2022</v>
      </c>
      <c r="C6" s="316">
        <v>1.8511372549019609</v>
      </c>
      <c r="D6" s="316">
        <v>1.7903921568627446</v>
      </c>
      <c r="E6" s="316">
        <v>0.85656862745098072</v>
      </c>
      <c r="F6" s="316">
        <v>1.7780054901960787</v>
      </c>
      <c r="G6" s="316">
        <v>1.7719703921568626</v>
      </c>
      <c r="H6" s="316">
        <v>0.80806666666666693</v>
      </c>
      <c r="I6" s="316">
        <v>1.7080682352941174</v>
      </c>
      <c r="J6" s="316">
        <v>1.7502462745098033</v>
      </c>
      <c r="K6" s="316">
        <v>0.74900254901960783</v>
      </c>
    </row>
    <row r="7" spans="2:11" x14ac:dyDescent="0.35">
      <c r="B7" s="126">
        <v>2023</v>
      </c>
      <c r="C7" s="316">
        <v>1.7165961538461545</v>
      </c>
      <c r="D7" s="316">
        <v>1.6080192307692303</v>
      </c>
      <c r="E7" s="316">
        <v>0.69865384615384596</v>
      </c>
      <c r="F7" s="316">
        <v>1.6421236538461537</v>
      </c>
      <c r="G7" s="316">
        <v>1.5944932692307694</v>
      </c>
      <c r="H7" s="316">
        <v>0.74477076923076935</v>
      </c>
      <c r="I7" s="316">
        <v>1.5201973076923081</v>
      </c>
      <c r="J7" s="316">
        <v>1.4964549999999996</v>
      </c>
      <c r="K7" s="316">
        <v>0.60513057692307681</v>
      </c>
    </row>
    <row r="8" spans="2:11" x14ac:dyDescent="0.35">
      <c r="B8" s="126">
        <v>2024</v>
      </c>
      <c r="C8" s="316">
        <v>1.6737735849056596</v>
      </c>
      <c r="D8" s="316">
        <v>1.5389245283018866</v>
      </c>
      <c r="E8" s="316">
        <v>0.70024528301886801</v>
      </c>
      <c r="F8" s="316">
        <v>1.6306892452830191</v>
      </c>
      <c r="G8" s="316">
        <v>1.5915243396226415</v>
      </c>
      <c r="H8" s="316">
        <v>0.74440207547169845</v>
      </c>
      <c r="I8" s="316">
        <v>1.4537900000000001</v>
      </c>
      <c r="J8" s="316">
        <v>1.4563084905660377</v>
      </c>
      <c r="K8" s="316">
        <v>0.64533113207547188</v>
      </c>
    </row>
    <row r="9" spans="2:11" x14ac:dyDescent="0.35"/>
    <row r="10" spans="2:11" x14ac:dyDescent="0.35">
      <c r="B10" s="626" t="s">
        <v>1286</v>
      </c>
      <c r="C10" s="623" t="s">
        <v>1283</v>
      </c>
      <c r="D10" s="623"/>
      <c r="E10" s="623"/>
      <c r="F10" s="623" t="s">
        <v>1284</v>
      </c>
      <c r="G10" s="623"/>
      <c r="H10" s="623"/>
      <c r="I10" s="623" t="s">
        <v>1285</v>
      </c>
      <c r="J10" s="623"/>
      <c r="K10" s="623"/>
    </row>
    <row r="11" spans="2:11" x14ac:dyDescent="0.35">
      <c r="B11" s="626"/>
      <c r="C11" s="126" t="s">
        <v>414</v>
      </c>
      <c r="D11" s="126" t="s">
        <v>398</v>
      </c>
      <c r="E11" s="126" t="s">
        <v>96</v>
      </c>
      <c r="F11" s="126" t="s">
        <v>414</v>
      </c>
      <c r="G11" s="126" t="s">
        <v>398</v>
      </c>
      <c r="H11" s="126" t="s">
        <v>96</v>
      </c>
      <c r="I11" s="126" t="s">
        <v>414</v>
      </c>
      <c r="J11" s="126" t="s">
        <v>398</v>
      </c>
      <c r="K11" s="126" t="s">
        <v>96</v>
      </c>
    </row>
    <row r="12" spans="2:11" x14ac:dyDescent="0.35">
      <c r="B12" s="126">
        <v>2020</v>
      </c>
      <c r="C12" s="316">
        <f>1/C4</f>
        <v>0.79798269973506986</v>
      </c>
      <c r="D12" s="316">
        <f t="shared" ref="D12:K12" si="0">1/D4</f>
        <v>0.91274187659729855</v>
      </c>
      <c r="E12" s="316">
        <f t="shared" si="0"/>
        <v>1.6383236672236969</v>
      </c>
      <c r="F12" s="316">
        <f t="shared" si="0"/>
        <v>0.87375666610804481</v>
      </c>
      <c r="G12" s="316">
        <f t="shared" si="0"/>
        <v>0.95528775655446818</v>
      </c>
      <c r="H12" s="316">
        <f t="shared" si="0"/>
        <v>1.9007251266358123</v>
      </c>
      <c r="I12" s="316">
        <f t="shared" si="0"/>
        <v>0.91127598321210923</v>
      </c>
      <c r="J12" s="316">
        <f t="shared" si="0"/>
        <v>1.0042280007286677</v>
      </c>
      <c r="K12" s="316">
        <f t="shared" si="0"/>
        <v>1.9448964167617393</v>
      </c>
    </row>
    <row r="13" spans="2:11" x14ac:dyDescent="0.35">
      <c r="B13" s="126">
        <v>2021</v>
      </c>
      <c r="C13" s="316">
        <f t="shared" ref="C13:K16" si="1">1/C5</f>
        <v>0.7010214884546051</v>
      </c>
      <c r="D13" s="316">
        <f t="shared" si="1"/>
        <v>0.80755475715674774</v>
      </c>
      <c r="E13" s="316">
        <f t="shared" si="1"/>
        <v>1.4090582314881377</v>
      </c>
      <c r="F13" s="316">
        <f t="shared" si="1"/>
        <v>0.74746555785490187</v>
      </c>
      <c r="G13" s="316">
        <f t="shared" si="1"/>
        <v>0.81316166882016216</v>
      </c>
      <c r="H13" s="316">
        <f t="shared" si="1"/>
        <v>1.5402581032507305</v>
      </c>
      <c r="I13" s="316">
        <f t="shared" si="1"/>
        <v>0.77959869759286982</v>
      </c>
      <c r="J13" s="316">
        <f t="shared" si="1"/>
        <v>0.84777301275517736</v>
      </c>
      <c r="K13" s="316">
        <f t="shared" si="1"/>
        <v>1.5795175895401121</v>
      </c>
    </row>
    <row r="14" spans="2:11" x14ac:dyDescent="0.35">
      <c r="B14" s="126">
        <v>2022</v>
      </c>
      <c r="C14" s="316">
        <f t="shared" si="1"/>
        <v>0.54020845691043129</v>
      </c>
      <c r="D14" s="316">
        <f t="shared" si="1"/>
        <v>0.55853685248056084</v>
      </c>
      <c r="E14" s="316">
        <f t="shared" si="1"/>
        <v>1.1674487810461252</v>
      </c>
      <c r="F14" s="316">
        <f t="shared" si="1"/>
        <v>0.56242795959517533</v>
      </c>
      <c r="G14" s="316">
        <f t="shared" si="1"/>
        <v>0.56434351523378934</v>
      </c>
      <c r="H14" s="316">
        <f t="shared" si="1"/>
        <v>1.2375216566289906</v>
      </c>
      <c r="I14" s="316">
        <f t="shared" si="1"/>
        <v>0.58545670444354758</v>
      </c>
      <c r="J14" s="316">
        <f t="shared" si="1"/>
        <v>0.57134816657734233</v>
      </c>
      <c r="K14" s="316">
        <f t="shared" si="1"/>
        <v>1.3351089409627916</v>
      </c>
    </row>
    <row r="15" spans="2:11" x14ac:dyDescent="0.35">
      <c r="B15" s="126">
        <v>2023</v>
      </c>
      <c r="C15" s="316">
        <f t="shared" si="1"/>
        <v>0.58254820026214649</v>
      </c>
      <c r="D15" s="316">
        <f t="shared" si="1"/>
        <v>0.62188310989392126</v>
      </c>
      <c r="E15" s="316">
        <f t="shared" si="1"/>
        <v>1.4313239746765762</v>
      </c>
      <c r="F15" s="316">
        <f t="shared" si="1"/>
        <v>0.60896753886823152</v>
      </c>
      <c r="G15" s="316">
        <f t="shared" si="1"/>
        <v>0.62715849561561932</v>
      </c>
      <c r="H15" s="316">
        <f t="shared" si="1"/>
        <v>1.3426950161226685</v>
      </c>
      <c r="I15" s="316">
        <f t="shared" si="1"/>
        <v>0.65780934812864611</v>
      </c>
      <c r="J15" s="316">
        <f t="shared" si="1"/>
        <v>0.66824595460605252</v>
      </c>
      <c r="K15" s="316">
        <f t="shared" si="1"/>
        <v>1.6525358957809173</v>
      </c>
    </row>
    <row r="16" spans="2:11" x14ac:dyDescent="0.35">
      <c r="B16" s="126">
        <v>2024</v>
      </c>
      <c r="C16" s="316">
        <f t="shared" si="1"/>
        <v>0.59745237290046249</v>
      </c>
      <c r="D16" s="316">
        <f t="shared" si="1"/>
        <v>0.64980444564324513</v>
      </c>
      <c r="E16" s="316">
        <f t="shared" si="1"/>
        <v>1.4280710263250072</v>
      </c>
      <c r="F16" s="316">
        <f t="shared" si="1"/>
        <v>0.61323762506721025</v>
      </c>
      <c r="G16" s="316">
        <f t="shared" si="1"/>
        <v>0.62832843652086723</v>
      </c>
      <c r="H16" s="316">
        <f t="shared" si="1"/>
        <v>1.3433600374721406</v>
      </c>
      <c r="I16" s="316">
        <f t="shared" si="1"/>
        <v>0.68785725586226343</v>
      </c>
      <c r="J16" s="316">
        <f t="shared" si="1"/>
        <v>0.6866676988275473</v>
      </c>
      <c r="K16" s="316">
        <f t="shared" si="1"/>
        <v>1.5495920625801287</v>
      </c>
    </row>
    <row r="17" spans="2:11" x14ac:dyDescent="0.35"/>
    <row r="18" spans="2:11" x14ac:dyDescent="0.35">
      <c r="B18" s="624" t="s">
        <v>366</v>
      </c>
      <c r="C18" s="623" t="s">
        <v>1286</v>
      </c>
      <c r="D18" s="623"/>
      <c r="E18" s="623"/>
      <c r="G18" s="627" t="s">
        <v>1287</v>
      </c>
      <c r="H18" s="628"/>
      <c r="I18" s="628"/>
      <c r="J18" s="628"/>
      <c r="K18" s="629"/>
    </row>
    <row r="19" spans="2:11" x14ac:dyDescent="0.35">
      <c r="B19" s="625"/>
      <c r="C19" s="126" t="s">
        <v>414</v>
      </c>
      <c r="D19" s="126" t="s">
        <v>398</v>
      </c>
      <c r="E19" s="126" t="s">
        <v>96</v>
      </c>
      <c r="G19" s="630" t="s">
        <v>1288</v>
      </c>
      <c r="H19" s="631"/>
      <c r="I19" s="631"/>
      <c r="J19" s="631"/>
      <c r="K19" s="632"/>
    </row>
    <row r="20" spans="2:11" x14ac:dyDescent="0.35">
      <c r="B20" s="126" t="s">
        <v>1289</v>
      </c>
      <c r="C20" s="316">
        <v>0.79798269973506986</v>
      </c>
      <c r="D20" s="316">
        <v>0.91274187659729855</v>
      </c>
      <c r="E20" s="316">
        <v>1.6383236672236969</v>
      </c>
    </row>
    <row r="21" spans="2:11" x14ac:dyDescent="0.35">
      <c r="B21" s="126" t="s">
        <v>1290</v>
      </c>
      <c r="C21" s="316">
        <v>0.7010214884546051</v>
      </c>
      <c r="D21" s="316">
        <v>0.80755475715674774</v>
      </c>
      <c r="E21" s="316">
        <v>1.4090582314881377</v>
      </c>
    </row>
    <row r="22" spans="2:11" x14ac:dyDescent="0.35">
      <c r="B22" s="126" t="s">
        <v>1291</v>
      </c>
      <c r="C22" s="316">
        <v>0.54020845691043129</v>
      </c>
      <c r="D22" s="316">
        <v>0.55853685248056084</v>
      </c>
      <c r="E22" s="316">
        <v>1.1674487810461252</v>
      </c>
    </row>
    <row r="23" spans="2:11" x14ac:dyDescent="0.35">
      <c r="B23" s="126" t="s">
        <v>1292</v>
      </c>
      <c r="C23" s="316">
        <v>0.58254820026214649</v>
      </c>
      <c r="D23" s="316">
        <v>0.62188310989392126</v>
      </c>
      <c r="E23" s="316">
        <v>1.4313239746765762</v>
      </c>
    </row>
    <row r="24" spans="2:11" x14ac:dyDescent="0.35">
      <c r="B24" s="126" t="s">
        <v>1293</v>
      </c>
      <c r="C24" s="316">
        <v>0.59745237290046249</v>
      </c>
      <c r="D24" s="316">
        <v>0.64980444564324513</v>
      </c>
      <c r="E24" s="316">
        <v>1.4280710263250072</v>
      </c>
    </row>
    <row r="25" spans="2:11" x14ac:dyDescent="0.35">
      <c r="B25" s="126" t="s">
        <v>1294</v>
      </c>
      <c r="C25" s="316">
        <v>0.87375666610804481</v>
      </c>
      <c r="D25" s="316">
        <v>0.95528775655446818</v>
      </c>
      <c r="E25" s="316">
        <v>1.9007251266358123</v>
      </c>
    </row>
    <row r="26" spans="2:11" x14ac:dyDescent="0.35">
      <c r="B26" s="126" t="s">
        <v>1295</v>
      </c>
      <c r="C26" s="316">
        <v>0.74746555785490187</v>
      </c>
      <c r="D26" s="316">
        <v>0.81316166882016216</v>
      </c>
      <c r="E26" s="316">
        <v>1.5402581032507305</v>
      </c>
    </row>
    <row r="27" spans="2:11" x14ac:dyDescent="0.35">
      <c r="B27" s="126" t="s">
        <v>1296</v>
      </c>
      <c r="C27" s="316">
        <v>0.56242795959517533</v>
      </c>
      <c r="D27" s="316">
        <v>0.56434351523378934</v>
      </c>
      <c r="E27" s="316">
        <v>1.2375216566289906</v>
      </c>
    </row>
    <row r="28" spans="2:11" x14ac:dyDescent="0.35">
      <c r="B28" s="126" t="s">
        <v>1297</v>
      </c>
      <c r="C28" s="316">
        <v>0.60896753886823152</v>
      </c>
      <c r="D28" s="316">
        <v>0.62715849561561932</v>
      </c>
      <c r="E28" s="316">
        <v>1.3426950161226685</v>
      </c>
    </row>
    <row r="29" spans="2:11" x14ac:dyDescent="0.35">
      <c r="B29" s="126" t="s">
        <v>1298</v>
      </c>
      <c r="C29" s="316">
        <v>0.61323762506721025</v>
      </c>
      <c r="D29" s="316">
        <v>0.62832843652086723</v>
      </c>
      <c r="E29" s="316">
        <v>1.3433600374721406</v>
      </c>
    </row>
    <row r="30" spans="2:11" x14ac:dyDescent="0.35">
      <c r="B30" s="126" t="s">
        <v>1299</v>
      </c>
      <c r="C30" s="316">
        <v>0.91127598321210923</v>
      </c>
      <c r="D30" s="316">
        <v>1.0042280007286677</v>
      </c>
      <c r="E30" s="316">
        <v>1.9448964167617393</v>
      </c>
    </row>
    <row r="31" spans="2:11" x14ac:dyDescent="0.35">
      <c r="B31" s="126" t="s">
        <v>1300</v>
      </c>
      <c r="C31" s="316">
        <v>0.77959869759286982</v>
      </c>
      <c r="D31" s="316">
        <v>0.84777301275517736</v>
      </c>
      <c r="E31" s="316">
        <v>1.5795175895401121</v>
      </c>
    </row>
    <row r="32" spans="2:11" x14ac:dyDescent="0.35">
      <c r="B32" s="126" t="s">
        <v>1301</v>
      </c>
      <c r="C32" s="316">
        <v>0.58545670444354758</v>
      </c>
      <c r="D32" s="316">
        <v>0.57134816657734233</v>
      </c>
      <c r="E32" s="316">
        <v>1.3351089409627916</v>
      </c>
    </row>
    <row r="33" spans="2:5" x14ac:dyDescent="0.35">
      <c r="B33" s="126" t="s">
        <v>1302</v>
      </c>
      <c r="C33" s="316">
        <v>0.65780934812864611</v>
      </c>
      <c r="D33" s="316">
        <v>0.66824595460605252</v>
      </c>
      <c r="E33" s="316">
        <v>1.6525358957809173</v>
      </c>
    </row>
    <row r="34" spans="2:5" x14ac:dyDescent="0.35">
      <c r="B34" s="126" t="s">
        <v>1303</v>
      </c>
      <c r="C34" s="316">
        <v>0.68785725586226343</v>
      </c>
      <c r="D34" s="316">
        <v>0.6866676988275473</v>
      </c>
      <c r="E34" s="316">
        <v>1.5495920625801287</v>
      </c>
    </row>
    <row r="35" spans="2:5" x14ac:dyDescent="0.35"/>
  </sheetData>
  <mergeCells count="12">
    <mergeCell ref="C18:E18"/>
    <mergeCell ref="B18:B19"/>
    <mergeCell ref="B2:B3"/>
    <mergeCell ref="C2:E2"/>
    <mergeCell ref="F2:H2"/>
    <mergeCell ref="G18:K18"/>
    <mergeCell ref="G19:K19"/>
    <mergeCell ref="I2:K2"/>
    <mergeCell ref="B10:B11"/>
    <mergeCell ref="C10:E10"/>
    <mergeCell ref="F10:H10"/>
    <mergeCell ref="I10:K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sheetPr>
    <tabColor theme="0" tint="-0.249977111117893"/>
  </sheetPr>
  <dimension ref="A1:O12"/>
  <sheetViews>
    <sheetView workbookViewId="0">
      <selection activeCell="H86" sqref="H86"/>
    </sheetView>
  </sheetViews>
  <sheetFormatPr defaultColWidth="0" defaultRowHeight="14.5" zeroHeight="1" x14ac:dyDescent="0.35"/>
  <cols>
    <col min="1" max="1" width="35.7265625" style="71" bestFit="1" customWidth="1"/>
    <col min="2" max="3" width="15.54296875" style="71" customWidth="1"/>
    <col min="4" max="14" width="8.7265625" style="71" customWidth="1"/>
    <col min="15" max="15" width="5.54296875" style="70" customWidth="1"/>
    <col min="16" max="16384" width="8.7265625" style="71" hidden="1"/>
  </cols>
  <sheetData>
    <row r="1" spans="1:14" ht="29" x14ac:dyDescent="0.35">
      <c r="A1" s="122" t="s">
        <v>1304</v>
      </c>
      <c r="B1" s="122" t="s">
        <v>1305</v>
      </c>
      <c r="C1" s="122" t="s">
        <v>382</v>
      </c>
      <c r="D1" s="633"/>
      <c r="E1" s="634"/>
      <c r="F1" s="634"/>
      <c r="G1" s="634"/>
      <c r="H1" s="634"/>
      <c r="I1" s="634"/>
      <c r="J1" s="634"/>
      <c r="K1" s="634"/>
      <c r="L1" s="634"/>
      <c r="M1" s="634"/>
      <c r="N1" s="635"/>
    </row>
    <row r="2" spans="1:14" x14ac:dyDescent="0.35">
      <c r="A2" s="120" t="s">
        <v>1306</v>
      </c>
      <c r="B2" s="120">
        <v>97</v>
      </c>
      <c r="C2" s="120" t="s">
        <v>1307</v>
      </c>
      <c r="D2" s="636"/>
      <c r="E2" s="637"/>
      <c r="F2" s="637"/>
      <c r="G2" s="637"/>
      <c r="H2" s="637"/>
      <c r="I2" s="637"/>
      <c r="J2" s="637"/>
      <c r="K2" s="637"/>
      <c r="L2" s="637"/>
      <c r="M2" s="637"/>
      <c r="N2" s="638"/>
    </row>
    <row r="3" spans="1:14" x14ac:dyDescent="0.35">
      <c r="A3" s="120" t="s">
        <v>1308</v>
      </c>
      <c r="B3" s="120">
        <v>114</v>
      </c>
      <c r="C3" s="120" t="s">
        <v>1307</v>
      </c>
      <c r="D3" s="636"/>
      <c r="E3" s="637"/>
      <c r="F3" s="637"/>
      <c r="G3" s="637"/>
      <c r="H3" s="637"/>
      <c r="I3" s="637"/>
      <c r="J3" s="637"/>
      <c r="K3" s="637"/>
      <c r="L3" s="637"/>
      <c r="M3" s="637"/>
      <c r="N3" s="638"/>
    </row>
    <row r="4" spans="1:14" x14ac:dyDescent="0.35">
      <c r="A4" s="120" t="s">
        <v>1309</v>
      </c>
      <c r="B4" s="120">
        <v>96</v>
      </c>
      <c r="C4" s="120" t="s">
        <v>1307</v>
      </c>
      <c r="D4" s="636"/>
      <c r="E4" s="637"/>
      <c r="F4" s="637"/>
      <c r="G4" s="637"/>
      <c r="H4" s="637"/>
      <c r="I4" s="637"/>
      <c r="J4" s="637"/>
      <c r="K4" s="637"/>
      <c r="L4" s="637"/>
      <c r="M4" s="637"/>
      <c r="N4" s="638"/>
    </row>
    <row r="5" spans="1:14" x14ac:dyDescent="0.35">
      <c r="A5" s="120" t="s">
        <v>1310</v>
      </c>
      <c r="B5" s="120">
        <v>92</v>
      </c>
      <c r="C5" s="120" t="s">
        <v>1307</v>
      </c>
      <c r="D5" s="636"/>
      <c r="E5" s="637"/>
      <c r="F5" s="637"/>
      <c r="G5" s="637"/>
      <c r="H5" s="637"/>
      <c r="I5" s="637"/>
      <c r="J5" s="637"/>
      <c r="K5" s="637"/>
      <c r="L5" s="637"/>
      <c r="M5" s="637"/>
      <c r="N5" s="638"/>
    </row>
    <row r="6" spans="1:14" x14ac:dyDescent="0.35">
      <c r="A6" s="120" t="s">
        <v>1311</v>
      </c>
      <c r="B6" s="120">
        <v>107</v>
      </c>
      <c r="C6" s="120" t="s">
        <v>1307</v>
      </c>
      <c r="D6" s="636"/>
      <c r="E6" s="637"/>
      <c r="F6" s="637"/>
      <c r="G6" s="637"/>
      <c r="H6" s="637"/>
      <c r="I6" s="637"/>
      <c r="J6" s="637"/>
      <c r="K6" s="637"/>
      <c r="L6" s="637"/>
      <c r="M6" s="637"/>
      <c r="N6" s="638"/>
    </row>
    <row r="7" spans="1:14" x14ac:dyDescent="0.35">
      <c r="A7" s="120" t="s">
        <v>1312</v>
      </c>
      <c r="B7" s="120">
        <v>103</v>
      </c>
      <c r="C7" s="120" t="s">
        <v>1307</v>
      </c>
      <c r="D7" s="636"/>
      <c r="E7" s="637"/>
      <c r="F7" s="637"/>
      <c r="G7" s="637"/>
      <c r="H7" s="637"/>
      <c r="I7" s="637"/>
      <c r="J7" s="637"/>
      <c r="K7" s="637"/>
      <c r="L7" s="637"/>
      <c r="M7" s="637"/>
      <c r="N7" s="638"/>
    </row>
    <row r="8" spans="1:14" x14ac:dyDescent="0.35">
      <c r="A8" s="120" t="s">
        <v>1313</v>
      </c>
      <c r="B8" s="120">
        <v>103</v>
      </c>
      <c r="C8" s="120" t="s">
        <v>1307</v>
      </c>
      <c r="D8" s="636"/>
      <c r="E8" s="637"/>
      <c r="F8" s="637"/>
      <c r="G8" s="637"/>
      <c r="H8" s="637"/>
      <c r="I8" s="637"/>
      <c r="J8" s="637"/>
      <c r="K8" s="637"/>
      <c r="L8" s="637"/>
      <c r="M8" s="637"/>
      <c r="N8" s="638"/>
    </row>
    <row r="9" spans="1:14" x14ac:dyDescent="0.35">
      <c r="A9" s="119" t="s">
        <v>1314</v>
      </c>
      <c r="B9" s="121">
        <f>AVERAGE(B2:B8)</f>
        <v>101.71428571428571</v>
      </c>
      <c r="C9" s="119" t="s">
        <v>1307</v>
      </c>
      <c r="D9" s="639"/>
      <c r="E9" s="640"/>
      <c r="F9" s="640"/>
      <c r="G9" s="640"/>
      <c r="H9" s="640"/>
      <c r="I9" s="640"/>
      <c r="J9" s="640"/>
      <c r="K9" s="640"/>
      <c r="L9" s="640"/>
      <c r="M9" s="640"/>
      <c r="N9" s="641"/>
    </row>
    <row r="10" spans="1:14" s="70" customFormat="1" x14ac:dyDescent="0.35"/>
    <row r="11" spans="1:14" x14ac:dyDescent="0.35">
      <c r="A11" s="642" t="s">
        <v>1287</v>
      </c>
      <c r="B11" s="643"/>
      <c r="C11" s="644"/>
      <c r="D11" s="645" t="s">
        <v>1315</v>
      </c>
      <c r="E11" s="646"/>
      <c r="F11" s="646"/>
      <c r="G11" s="646"/>
      <c r="H11" s="646"/>
      <c r="I11" s="646"/>
      <c r="J11" s="646"/>
      <c r="K11" s="646"/>
      <c r="L11" s="646"/>
      <c r="M11" s="646"/>
      <c r="N11" s="647"/>
    </row>
    <row r="12" spans="1:14" s="70" customFormat="1" x14ac:dyDescent="0.35"/>
  </sheetData>
  <mergeCells count="3">
    <mergeCell ref="D1:N9"/>
    <mergeCell ref="A11:C11"/>
    <mergeCell ref="D11:N11"/>
  </mergeCells>
  <phoneticPr fontId="12"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sheetPr>
    <tabColor theme="0" tint="-0.249977111117893"/>
  </sheetPr>
  <dimension ref="B2:N102"/>
  <sheetViews>
    <sheetView showGridLines="0" topLeftCell="A51" workbookViewId="0">
      <selection activeCell="H86" sqref="H86"/>
    </sheetView>
  </sheetViews>
  <sheetFormatPr defaultColWidth="8.7265625" defaultRowHeight="13" x14ac:dyDescent="0.3"/>
  <cols>
    <col min="1" max="1" width="5.54296875" style="74" customWidth="1"/>
    <col min="2" max="2" width="8.7265625" style="74"/>
    <col min="3" max="3" width="33.54296875" style="118" customWidth="1"/>
    <col min="4" max="9" width="22.54296875" style="74" customWidth="1"/>
    <col min="10" max="16384" width="8.7265625" style="74"/>
  </cols>
  <sheetData>
    <row r="2" spans="2:14" x14ac:dyDescent="0.3">
      <c r="B2" s="652" t="s">
        <v>1316</v>
      </c>
      <c r="C2" s="653"/>
      <c r="D2" s="653"/>
      <c r="E2" s="653"/>
      <c r="F2" s="653"/>
      <c r="G2" s="653"/>
      <c r="H2" s="653"/>
      <c r="I2" s="653"/>
      <c r="J2" s="653"/>
      <c r="K2" s="653"/>
      <c r="L2" s="653"/>
      <c r="M2" s="653"/>
      <c r="N2" s="654"/>
    </row>
    <row r="4" spans="2:14" x14ac:dyDescent="0.3">
      <c r="B4" s="72"/>
      <c r="C4" s="114"/>
      <c r="D4" s="73" t="s">
        <v>1317</v>
      </c>
      <c r="E4" s="73" t="s">
        <v>1318</v>
      </c>
      <c r="F4" s="73" t="s">
        <v>1319</v>
      </c>
      <c r="G4" s="72"/>
      <c r="H4" s="72"/>
      <c r="I4" s="72"/>
    </row>
    <row r="5" spans="2:14" x14ac:dyDescent="0.3">
      <c r="B5" s="656" t="s">
        <v>1320</v>
      </c>
      <c r="C5" s="115" t="s">
        <v>1321</v>
      </c>
      <c r="D5" s="73" t="s">
        <v>1322</v>
      </c>
      <c r="E5" s="75">
        <v>1000</v>
      </c>
      <c r="F5" s="73" t="s">
        <v>1323</v>
      </c>
      <c r="G5" s="72"/>
      <c r="H5" s="72"/>
      <c r="I5" s="72"/>
    </row>
    <row r="6" spans="2:14" x14ac:dyDescent="0.3">
      <c r="B6" s="656"/>
      <c r="C6" s="115" t="s">
        <v>1324</v>
      </c>
      <c r="D6" s="73" t="s">
        <v>1325</v>
      </c>
      <c r="E6" s="75">
        <v>1000000</v>
      </c>
      <c r="F6" s="73" t="s">
        <v>1326</v>
      </c>
      <c r="G6" s="72"/>
      <c r="H6" s="72"/>
      <c r="I6" s="72"/>
    </row>
    <row r="7" spans="2:14" x14ac:dyDescent="0.3">
      <c r="B7" s="656"/>
      <c r="C7" s="115" t="s">
        <v>1327</v>
      </c>
      <c r="D7" s="73" t="s">
        <v>1328</v>
      </c>
      <c r="E7" s="75">
        <v>1000000000</v>
      </c>
      <c r="F7" s="73" t="s">
        <v>1329</v>
      </c>
      <c r="G7" s="72"/>
      <c r="H7" s="72"/>
      <c r="I7" s="72"/>
    </row>
    <row r="8" spans="2:14" x14ac:dyDescent="0.3">
      <c r="B8" s="656"/>
      <c r="C8" s="115" t="s">
        <v>1330</v>
      </c>
      <c r="D8" s="73" t="s">
        <v>1331</v>
      </c>
      <c r="E8" s="75">
        <v>1000000000000</v>
      </c>
      <c r="F8" s="73" t="s">
        <v>1332</v>
      </c>
      <c r="G8" s="72"/>
      <c r="H8" s="72"/>
      <c r="I8" s="72"/>
    </row>
    <row r="9" spans="2:14" x14ac:dyDescent="0.3">
      <c r="B9" s="656"/>
      <c r="C9" s="115" t="s">
        <v>1333</v>
      </c>
      <c r="D9" s="73" t="s">
        <v>1334</v>
      </c>
      <c r="E9" s="75">
        <v>1000000000000000</v>
      </c>
      <c r="F9" s="73" t="s">
        <v>1335</v>
      </c>
      <c r="G9" s="72"/>
      <c r="H9" s="72"/>
      <c r="I9" s="72"/>
    </row>
    <row r="10" spans="2:14" x14ac:dyDescent="0.3">
      <c r="B10" s="76"/>
      <c r="C10" s="114"/>
      <c r="D10" s="72"/>
      <c r="E10" s="72"/>
      <c r="F10" s="72"/>
      <c r="G10" s="72"/>
      <c r="H10" s="72"/>
      <c r="I10" s="72"/>
    </row>
    <row r="11" spans="2:14" x14ac:dyDescent="0.3">
      <c r="B11" s="72"/>
      <c r="C11" s="114"/>
      <c r="D11" s="72"/>
      <c r="E11" s="72"/>
      <c r="F11" s="72"/>
      <c r="G11" s="72"/>
      <c r="H11" s="72"/>
      <c r="I11" s="72"/>
    </row>
    <row r="12" spans="2:14" x14ac:dyDescent="0.3">
      <c r="B12" s="72"/>
      <c r="C12" s="116"/>
      <c r="D12" s="73" t="s">
        <v>176</v>
      </c>
      <c r="E12" s="73" t="s">
        <v>68</v>
      </c>
      <c r="F12" s="73" t="s">
        <v>1336</v>
      </c>
      <c r="G12" s="73" t="s">
        <v>1337</v>
      </c>
      <c r="H12" s="73" t="s">
        <v>1338</v>
      </c>
      <c r="I12" s="72"/>
    </row>
    <row r="13" spans="2:14" x14ac:dyDescent="0.3">
      <c r="B13" s="657" t="s">
        <v>1339</v>
      </c>
      <c r="C13" s="115" t="s">
        <v>1340</v>
      </c>
      <c r="D13" s="77"/>
      <c r="E13" s="78">
        <v>277.77777777799997</v>
      </c>
      <c r="F13" s="79">
        <v>9.4781707770000008</v>
      </c>
      <c r="G13" s="79">
        <v>2.3884590000000001E-2</v>
      </c>
      <c r="H13" s="80">
        <v>238902.95761861501</v>
      </c>
      <c r="I13" s="72"/>
    </row>
    <row r="14" spans="2:14" x14ac:dyDescent="0.3">
      <c r="B14" s="657"/>
      <c r="C14" s="115" t="s">
        <v>1341</v>
      </c>
      <c r="D14" s="81">
        <v>3.5999999999971203E-3</v>
      </c>
      <c r="E14" s="77"/>
      <c r="F14" s="79">
        <v>3.4121414797172706E-2</v>
      </c>
      <c r="G14" s="79">
        <v>8.5984523999931223E-5</v>
      </c>
      <c r="H14" s="78">
        <v>860.05064742632601</v>
      </c>
      <c r="I14" s="72"/>
    </row>
    <row r="15" spans="2:14" x14ac:dyDescent="0.3">
      <c r="B15" s="657"/>
      <c r="C15" s="115" t="s">
        <v>1342</v>
      </c>
      <c r="D15" s="79">
        <v>0.10550559000547115</v>
      </c>
      <c r="E15" s="82">
        <v>29.307108334876538</v>
      </c>
      <c r="F15" s="77"/>
      <c r="G15" s="79">
        <v>2.5199577599887761E-3</v>
      </c>
      <c r="H15" s="80">
        <v>25205.597497604045</v>
      </c>
      <c r="I15" s="72"/>
    </row>
    <row r="16" spans="2:14" x14ac:dyDescent="0.3">
      <c r="B16" s="657"/>
      <c r="C16" s="115" t="s">
        <v>1343</v>
      </c>
      <c r="D16" s="82">
        <v>41.867999408823849</v>
      </c>
      <c r="E16" s="80">
        <v>11629.999835793706</v>
      </c>
      <c r="F16" s="78">
        <v>396.83204848816752</v>
      </c>
      <c r="G16" s="77"/>
      <c r="H16" s="80">
        <v>10002388.888342442</v>
      </c>
      <c r="I16" s="72"/>
    </row>
    <row r="17" spans="2:9" x14ac:dyDescent="0.3">
      <c r="B17" s="657"/>
      <c r="C17" s="115" t="s">
        <v>1344</v>
      </c>
      <c r="D17" s="83">
        <v>4.1858000000000057E-6</v>
      </c>
      <c r="E17" s="84">
        <v>1.1627222222231539E-3</v>
      </c>
      <c r="F17" s="83">
        <v>3.9673727238366659E-5</v>
      </c>
      <c r="G17" s="83">
        <v>9.9976116822000138E-8</v>
      </c>
      <c r="H17" s="77"/>
      <c r="I17" s="72"/>
    </row>
    <row r="18" spans="2:9" x14ac:dyDescent="0.3">
      <c r="B18" s="72"/>
      <c r="C18" s="114"/>
      <c r="D18" s="72"/>
      <c r="E18" s="72"/>
      <c r="F18" s="72"/>
      <c r="G18" s="72"/>
      <c r="H18" s="72"/>
      <c r="I18" s="72"/>
    </row>
    <row r="19" spans="2:9" x14ac:dyDescent="0.3">
      <c r="B19" s="72"/>
      <c r="C19" s="114"/>
      <c r="D19" s="72"/>
      <c r="E19" s="72"/>
      <c r="F19" s="72"/>
      <c r="G19" s="72"/>
      <c r="H19" s="72"/>
      <c r="I19" s="72"/>
    </row>
    <row r="20" spans="2:9" x14ac:dyDescent="0.3">
      <c r="B20" s="72"/>
      <c r="C20" s="116"/>
      <c r="D20" s="73" t="s">
        <v>66</v>
      </c>
      <c r="E20" s="73" t="s">
        <v>1064</v>
      </c>
      <c r="F20" s="73" t="s">
        <v>1345</v>
      </c>
      <c r="G20" s="73" t="s">
        <v>1346</v>
      </c>
      <c r="H20" s="73" t="s">
        <v>1347</v>
      </c>
      <c r="I20" s="73" t="s">
        <v>1348</v>
      </c>
    </row>
    <row r="21" spans="2:9" x14ac:dyDescent="0.3">
      <c r="B21" s="657" t="s">
        <v>1349</v>
      </c>
      <c r="C21" s="115" t="s">
        <v>1350</v>
      </c>
      <c r="D21" s="77"/>
      <c r="E21" s="85">
        <v>1E-3</v>
      </c>
      <c r="F21" s="86">
        <v>3.5314667000000001E-2</v>
      </c>
      <c r="G21" s="86">
        <v>0.21996924800000001</v>
      </c>
      <c r="H21" s="86">
        <v>0.26417205100000002</v>
      </c>
      <c r="I21" s="87">
        <v>6.2898110000000002E-3</v>
      </c>
    </row>
    <row r="22" spans="2:9" x14ac:dyDescent="0.3">
      <c r="B22" s="657"/>
      <c r="C22" s="115" t="s">
        <v>1351</v>
      </c>
      <c r="D22" s="88">
        <v>1000</v>
      </c>
      <c r="E22" s="77"/>
      <c r="F22" s="85">
        <v>35.314667</v>
      </c>
      <c r="G22" s="89">
        <v>219.96924799999999</v>
      </c>
      <c r="H22" s="89">
        <v>264.17205100000001</v>
      </c>
      <c r="I22" s="90">
        <v>6.2898110000000003</v>
      </c>
    </row>
    <row r="23" spans="2:9" x14ac:dyDescent="0.3">
      <c r="B23" s="657"/>
      <c r="C23" s="115" t="s">
        <v>1352</v>
      </c>
      <c r="D23" s="85">
        <v>28.316846368677353</v>
      </c>
      <c r="E23" s="86">
        <v>2.8316846368677356E-2</v>
      </c>
      <c r="F23" s="77"/>
      <c r="G23" s="90">
        <v>6.228835401449488</v>
      </c>
      <c r="H23" s="86">
        <v>7.4805193830653991</v>
      </c>
      <c r="I23" s="86">
        <v>0.17810761177501688</v>
      </c>
    </row>
    <row r="24" spans="2:9" x14ac:dyDescent="0.3">
      <c r="B24" s="657"/>
      <c r="C24" s="115" t="s">
        <v>1353</v>
      </c>
      <c r="D24" s="90">
        <v>4.5460900061812275</v>
      </c>
      <c r="E24" s="86">
        <v>4.5460900061812274E-3</v>
      </c>
      <c r="F24" s="86">
        <v>0.16054365472031801</v>
      </c>
      <c r="G24" s="77"/>
      <c r="H24" s="86">
        <v>1.2009499209634977</v>
      </c>
      <c r="I24" s="91">
        <v>2.8594046927868752E-2</v>
      </c>
    </row>
    <row r="25" spans="2:9" x14ac:dyDescent="0.3">
      <c r="B25" s="657"/>
      <c r="C25" s="115" t="s">
        <v>1347</v>
      </c>
      <c r="D25" s="90">
        <v>3.7854118034613733</v>
      </c>
      <c r="E25" s="87">
        <v>3.7854118034613732E-3</v>
      </c>
      <c r="F25" s="86">
        <v>0.13368055729710784</v>
      </c>
      <c r="G25" s="86">
        <v>0.83267418777772206</v>
      </c>
      <c r="H25" s="77"/>
      <c r="I25" s="91">
        <v>2.3809524800941183E-2</v>
      </c>
    </row>
    <row r="26" spans="2:9" x14ac:dyDescent="0.3">
      <c r="B26" s="657"/>
      <c r="C26" s="115" t="s">
        <v>1354</v>
      </c>
      <c r="D26" s="89">
        <v>158.98728912522174</v>
      </c>
      <c r="E26" s="86">
        <v>0.15898728912522173</v>
      </c>
      <c r="F26" s="90">
        <v>5.6145831726899269</v>
      </c>
      <c r="G26" s="85">
        <v>34.972314430433606</v>
      </c>
      <c r="H26" s="88">
        <v>41.999998251139822</v>
      </c>
      <c r="I26" s="77"/>
    </row>
    <row r="27" spans="2:9" x14ac:dyDescent="0.3">
      <c r="B27" s="72"/>
      <c r="C27" s="114"/>
      <c r="D27" s="72"/>
      <c r="E27" s="72"/>
      <c r="F27" s="72"/>
      <c r="G27" s="72"/>
      <c r="H27" s="72"/>
      <c r="I27" s="72"/>
    </row>
    <row r="28" spans="2:9" x14ac:dyDescent="0.3">
      <c r="B28" s="72"/>
      <c r="C28" s="114"/>
      <c r="D28" s="72"/>
      <c r="E28" s="72"/>
      <c r="F28" s="72"/>
      <c r="G28" s="72"/>
      <c r="H28" s="72"/>
      <c r="I28" s="72"/>
    </row>
    <row r="29" spans="2:9" x14ac:dyDescent="0.3">
      <c r="B29" s="72"/>
      <c r="C29" s="117"/>
      <c r="D29" s="73" t="s">
        <v>123</v>
      </c>
      <c r="E29" s="73" t="s">
        <v>1355</v>
      </c>
      <c r="F29" s="73" t="s">
        <v>1356</v>
      </c>
      <c r="G29" s="73" t="s">
        <v>1357</v>
      </c>
      <c r="H29" s="73" t="s">
        <v>1358</v>
      </c>
      <c r="I29" s="72"/>
    </row>
    <row r="30" spans="2:9" x14ac:dyDescent="0.3">
      <c r="B30" s="656" t="s">
        <v>1359</v>
      </c>
      <c r="C30" s="115" t="s">
        <v>1360</v>
      </c>
      <c r="D30" s="77"/>
      <c r="E30" s="85">
        <v>1E-3</v>
      </c>
      <c r="F30" s="86">
        <v>9.8420699999999996E-4</v>
      </c>
      <c r="G30" s="86">
        <v>1.1023109999999999E-3</v>
      </c>
      <c r="H30" s="86">
        <v>2.2046236800000001</v>
      </c>
      <c r="I30" s="72"/>
    </row>
    <row r="31" spans="2:9" x14ac:dyDescent="0.3">
      <c r="B31" s="656"/>
      <c r="C31" s="115" t="s">
        <v>1361</v>
      </c>
      <c r="D31" s="88">
        <v>1000</v>
      </c>
      <c r="E31" s="77"/>
      <c r="F31" s="86">
        <v>0.98420699999999994</v>
      </c>
      <c r="G31" s="86">
        <v>1.1023109999999998</v>
      </c>
      <c r="H31" s="86">
        <v>2204.6236800000001</v>
      </c>
      <c r="I31" s="72"/>
    </row>
    <row r="32" spans="2:9" x14ac:dyDescent="0.3">
      <c r="B32" s="656"/>
      <c r="C32" s="115" t="s">
        <v>1362</v>
      </c>
      <c r="D32" s="86">
        <v>1016.0464211288886</v>
      </c>
      <c r="E32" s="86">
        <v>1.0160464211288887</v>
      </c>
      <c r="F32" s="77"/>
      <c r="G32" s="86">
        <v>1.1199991465210062</v>
      </c>
      <c r="H32" s="88">
        <v>2240</v>
      </c>
      <c r="I32" s="72"/>
    </row>
    <row r="33" spans="2:9" x14ac:dyDescent="0.3">
      <c r="B33" s="656"/>
      <c r="C33" s="115" t="s">
        <v>1363</v>
      </c>
      <c r="D33" s="89">
        <v>907.18499588591612</v>
      </c>
      <c r="E33" s="86">
        <v>0.90718499588591617</v>
      </c>
      <c r="F33" s="86">
        <v>0.8928578232458898</v>
      </c>
      <c r="G33" s="77"/>
      <c r="H33" s="88">
        <v>2000.0015240707933</v>
      </c>
      <c r="I33" s="72"/>
    </row>
    <row r="34" spans="2:9" x14ac:dyDescent="0.3">
      <c r="B34" s="656"/>
      <c r="C34" s="115" t="s">
        <v>1364</v>
      </c>
      <c r="D34" s="86">
        <v>0.45359215228968236</v>
      </c>
      <c r="E34" s="92">
        <v>4.5359215228968239E-4</v>
      </c>
      <c r="F34" s="92">
        <v>4.4642857142857141E-4</v>
      </c>
      <c r="G34" s="86">
        <v>4.9999961898259206E-4</v>
      </c>
      <c r="H34" s="77"/>
      <c r="I34" s="72"/>
    </row>
    <row r="35" spans="2:9" x14ac:dyDescent="0.3">
      <c r="B35" s="72"/>
      <c r="C35" s="114"/>
      <c r="D35" s="72"/>
      <c r="E35" s="72"/>
      <c r="F35" s="72"/>
      <c r="G35" s="72"/>
      <c r="H35" s="72"/>
      <c r="I35" s="72"/>
    </row>
    <row r="36" spans="2:9" x14ac:dyDescent="0.3">
      <c r="B36" s="72"/>
      <c r="C36" s="114"/>
      <c r="D36" s="72"/>
      <c r="E36" s="72"/>
      <c r="F36" s="72"/>
      <c r="G36" s="72"/>
      <c r="H36" s="72"/>
      <c r="I36" s="72"/>
    </row>
    <row r="37" spans="2:9" x14ac:dyDescent="0.3">
      <c r="B37" s="72"/>
      <c r="C37" s="116"/>
      <c r="D37" s="73" t="s">
        <v>1365</v>
      </c>
      <c r="E37" s="73" t="s">
        <v>1366</v>
      </c>
      <c r="F37" s="73" t="s">
        <v>1367</v>
      </c>
      <c r="G37" s="73" t="s">
        <v>117</v>
      </c>
      <c r="H37" s="73" t="s">
        <v>1368</v>
      </c>
      <c r="I37" s="72"/>
    </row>
    <row r="38" spans="2:9" x14ac:dyDescent="0.3">
      <c r="B38" s="656" t="s">
        <v>1369</v>
      </c>
      <c r="C38" s="115" t="s">
        <v>1370</v>
      </c>
      <c r="D38" s="77"/>
      <c r="E38" s="90">
        <v>3.2808398950000002</v>
      </c>
      <c r="F38" s="92">
        <v>6.2137119223733392E-4</v>
      </c>
      <c r="G38" s="73">
        <v>1E-3</v>
      </c>
      <c r="H38" s="92">
        <v>5.3995680351745805E-4</v>
      </c>
      <c r="I38" s="72"/>
    </row>
    <row r="39" spans="2:9" x14ac:dyDescent="0.3">
      <c r="B39" s="656"/>
      <c r="C39" s="115" t="s">
        <v>1371</v>
      </c>
      <c r="D39" s="86">
        <v>0.30480000000121921</v>
      </c>
      <c r="E39" s="77"/>
      <c r="F39" s="85">
        <v>1.8939393939469695E-4</v>
      </c>
      <c r="G39" s="87">
        <v>3.0480000000121922E-4</v>
      </c>
      <c r="H39" s="92">
        <v>1.6457883371277953E-4</v>
      </c>
      <c r="I39" s="72"/>
    </row>
    <row r="40" spans="2:9" x14ac:dyDescent="0.3">
      <c r="B40" s="656"/>
      <c r="C40" s="115" t="s">
        <v>1372</v>
      </c>
      <c r="D40" s="89">
        <v>1609.3440000000001</v>
      </c>
      <c r="E40" s="88">
        <v>5279.9999999788806</v>
      </c>
      <c r="F40" s="77"/>
      <c r="G40" s="86">
        <v>1.6093440000000001</v>
      </c>
      <c r="H40" s="86">
        <v>0.86897624200000001</v>
      </c>
      <c r="I40" s="72"/>
    </row>
    <row r="41" spans="2:9" x14ac:dyDescent="0.3">
      <c r="B41" s="656"/>
      <c r="C41" s="115" t="s">
        <v>1373</v>
      </c>
      <c r="D41" s="88">
        <v>1000</v>
      </c>
      <c r="E41" s="93">
        <v>3280.8398950000001</v>
      </c>
      <c r="F41" s="86">
        <v>0.62137119223733395</v>
      </c>
      <c r="G41" s="77"/>
      <c r="H41" s="86">
        <v>0.53995680351745801</v>
      </c>
      <c r="I41" s="72"/>
    </row>
    <row r="42" spans="2:9" x14ac:dyDescent="0.3">
      <c r="B42" s="656"/>
      <c r="C42" s="115" t="s">
        <v>1374</v>
      </c>
      <c r="D42" s="88">
        <v>1851.9999997882567</v>
      </c>
      <c r="E42" s="93">
        <v>6076.1154848453043</v>
      </c>
      <c r="F42" s="86">
        <v>1.1507794478919713</v>
      </c>
      <c r="G42" s="85">
        <v>1.8519999997882568</v>
      </c>
      <c r="H42" s="77"/>
      <c r="I42" s="72"/>
    </row>
    <row r="43" spans="2:9" x14ac:dyDescent="0.3">
      <c r="B43" s="72"/>
      <c r="C43" s="114"/>
      <c r="D43" s="72"/>
      <c r="E43" s="72"/>
      <c r="F43" s="72"/>
      <c r="G43" s="72"/>
      <c r="H43" s="72"/>
      <c r="I43" s="72"/>
    </row>
    <row r="44" spans="2:9" x14ac:dyDescent="0.3">
      <c r="B44" s="72"/>
      <c r="C44" s="114"/>
      <c r="D44" s="72"/>
      <c r="E44" s="72"/>
      <c r="F44" s="72"/>
      <c r="G44" s="72"/>
      <c r="H44" s="72"/>
      <c r="I44" s="72"/>
    </row>
    <row r="45" spans="2:9" x14ac:dyDescent="0.3">
      <c r="B45" s="72"/>
      <c r="C45" s="116"/>
      <c r="D45" s="73" t="s">
        <v>1365</v>
      </c>
      <c r="E45" s="73" t="s">
        <v>1366</v>
      </c>
      <c r="F45" s="73" t="s">
        <v>1375</v>
      </c>
      <c r="G45" s="73" t="s">
        <v>1376</v>
      </c>
      <c r="H45" s="73" t="s">
        <v>1377</v>
      </c>
      <c r="I45" s="72"/>
    </row>
    <row r="46" spans="2:9" x14ac:dyDescent="0.3">
      <c r="B46" s="656" t="s">
        <v>1369</v>
      </c>
      <c r="C46" s="115" t="s">
        <v>1370</v>
      </c>
      <c r="D46" s="77"/>
      <c r="E46" s="86">
        <v>3.2808398950000002</v>
      </c>
      <c r="F46" s="86">
        <v>39.370078739999997</v>
      </c>
      <c r="G46" s="88">
        <v>100</v>
      </c>
      <c r="H46" s="86">
        <v>1.093613298</v>
      </c>
      <c r="I46" s="72"/>
    </row>
    <row r="47" spans="2:9" x14ac:dyDescent="0.3">
      <c r="B47" s="656"/>
      <c r="C47" s="115" t="s">
        <v>1371</v>
      </c>
      <c r="D47" s="86">
        <v>0.30480000000121921</v>
      </c>
      <c r="E47" s="77"/>
      <c r="F47" s="88">
        <v>12</v>
      </c>
      <c r="G47" s="86">
        <v>30.480000000121919</v>
      </c>
      <c r="H47" s="86">
        <v>0.33333333323173331</v>
      </c>
      <c r="I47" s="72"/>
    </row>
    <row r="48" spans="2:9" x14ac:dyDescent="0.3">
      <c r="B48" s="656"/>
      <c r="C48" s="115" t="s">
        <v>1378</v>
      </c>
      <c r="D48" s="86">
        <v>2.5400000000101602E-2</v>
      </c>
      <c r="E48" s="86">
        <v>8.3333333333333343E-2</v>
      </c>
      <c r="F48" s="77"/>
      <c r="G48" s="86">
        <v>2.5400000000101604</v>
      </c>
      <c r="H48" s="86">
        <v>2.7777777769311111E-2</v>
      </c>
      <c r="I48" s="72"/>
    </row>
    <row r="49" spans="2:14" x14ac:dyDescent="0.3">
      <c r="B49" s="656"/>
      <c r="C49" s="115" t="s">
        <v>1379</v>
      </c>
      <c r="D49" s="89">
        <v>0.01</v>
      </c>
      <c r="E49" s="86">
        <v>3.2808398950000005E-2</v>
      </c>
      <c r="F49" s="86">
        <v>0.39370078739999997</v>
      </c>
      <c r="G49" s="77"/>
      <c r="H49" s="86">
        <v>1.0936132979999999E-2</v>
      </c>
      <c r="I49" s="72"/>
    </row>
    <row r="50" spans="2:14" x14ac:dyDescent="0.3">
      <c r="B50" s="656"/>
      <c r="C50" s="115" t="s">
        <v>1380</v>
      </c>
      <c r="D50" s="86">
        <v>0.91440000028236679</v>
      </c>
      <c r="E50" s="88">
        <v>3.0000000009144006</v>
      </c>
      <c r="F50" s="88">
        <v>36.000000010972798</v>
      </c>
      <c r="G50" s="86">
        <v>91.440000028236682</v>
      </c>
      <c r="H50" s="77"/>
      <c r="I50" s="72"/>
    </row>
    <row r="51" spans="2:14" x14ac:dyDescent="0.3">
      <c r="B51" s="72"/>
      <c r="C51" s="114"/>
      <c r="D51" s="72"/>
      <c r="E51" s="72"/>
      <c r="F51" s="72"/>
      <c r="G51" s="72"/>
      <c r="H51" s="72"/>
      <c r="I51" s="72"/>
    </row>
    <row r="52" spans="2:14" x14ac:dyDescent="0.3">
      <c r="B52" s="652" t="s">
        <v>1381</v>
      </c>
      <c r="C52" s="653"/>
      <c r="D52" s="653"/>
      <c r="E52" s="653"/>
      <c r="F52" s="653"/>
      <c r="G52" s="653"/>
      <c r="H52" s="653"/>
      <c r="I52" s="653"/>
      <c r="J52" s="653"/>
      <c r="K52" s="653"/>
      <c r="L52" s="653"/>
      <c r="M52" s="653"/>
      <c r="N52" s="654"/>
    </row>
    <row r="53" spans="2:14" x14ac:dyDescent="0.3">
      <c r="B53" s="72"/>
      <c r="C53" s="102"/>
      <c r="D53" s="103"/>
      <c r="E53" s="104"/>
      <c r="F53" s="104"/>
      <c r="G53" s="105"/>
      <c r="H53" s="106"/>
      <c r="I53" s="72"/>
      <c r="J53" s="104"/>
      <c r="K53" s="104"/>
      <c r="L53" s="72"/>
      <c r="M53" s="72"/>
      <c r="N53" s="72"/>
    </row>
    <row r="54" spans="2:14" x14ac:dyDescent="0.3">
      <c r="B54" s="72"/>
      <c r="C54" s="655"/>
      <c r="D54" s="94" t="s">
        <v>366</v>
      </c>
      <c r="E54" s="94" t="s">
        <v>1382</v>
      </c>
      <c r="F54" s="94" t="s">
        <v>1383</v>
      </c>
      <c r="G54" s="94" t="s">
        <v>1384</v>
      </c>
      <c r="H54" s="94" t="s">
        <v>1385</v>
      </c>
      <c r="I54" s="72"/>
      <c r="J54" s="94" t="s">
        <v>1382</v>
      </c>
      <c r="K54" s="94" t="s">
        <v>1383</v>
      </c>
      <c r="L54" s="72"/>
      <c r="M54" s="94" t="s">
        <v>1382</v>
      </c>
      <c r="N54" s="94" t="s">
        <v>1383</v>
      </c>
    </row>
    <row r="55" spans="2:14" x14ac:dyDescent="0.3">
      <c r="B55" s="72"/>
      <c r="C55" s="655"/>
      <c r="D55" s="95"/>
      <c r="E55" s="94" t="s">
        <v>1386</v>
      </c>
      <c r="F55" s="95" t="s">
        <v>1386</v>
      </c>
      <c r="G55" s="95" t="s">
        <v>1387</v>
      </c>
      <c r="H55" s="95" t="s">
        <v>1388</v>
      </c>
      <c r="I55" s="72"/>
      <c r="J55" s="94" t="s">
        <v>1389</v>
      </c>
      <c r="K55" s="94" t="s">
        <v>1389</v>
      </c>
      <c r="L55" s="72"/>
      <c r="M55" s="94" t="s">
        <v>1390</v>
      </c>
      <c r="N55" s="94" t="s">
        <v>1390</v>
      </c>
    </row>
    <row r="56" spans="2:14" x14ac:dyDescent="0.3">
      <c r="B56" s="648" t="s">
        <v>1391</v>
      </c>
      <c r="C56" s="94" t="s">
        <v>1392</v>
      </c>
      <c r="D56" s="96">
        <v>2022</v>
      </c>
      <c r="E56" s="97">
        <v>44.831000000000003</v>
      </c>
      <c r="F56" s="97">
        <v>47.19</v>
      </c>
      <c r="G56" s="97">
        <v>727.27300000000002</v>
      </c>
      <c r="H56" s="97">
        <v>1375</v>
      </c>
      <c r="I56" s="72"/>
      <c r="J56" s="97">
        <v>12.452999999999999</v>
      </c>
      <c r="K56" s="97">
        <v>13.108000000000001</v>
      </c>
      <c r="L56" s="72"/>
      <c r="M56" s="97">
        <v>9.0570000000000004</v>
      </c>
      <c r="N56" s="97">
        <v>9.5329999999999995</v>
      </c>
    </row>
    <row r="57" spans="2:14" x14ac:dyDescent="0.3">
      <c r="B57" s="648"/>
      <c r="C57" s="94" t="s">
        <v>1393</v>
      </c>
      <c r="D57" s="96">
        <v>2022</v>
      </c>
      <c r="E57" s="97">
        <v>43.920999999999999</v>
      </c>
      <c r="F57" s="97">
        <v>46.231999999999999</v>
      </c>
      <c r="G57" s="97">
        <v>798.72199999999998</v>
      </c>
      <c r="H57" s="97">
        <v>1252</v>
      </c>
      <c r="I57" s="72"/>
      <c r="J57" s="97">
        <v>12.2</v>
      </c>
      <c r="K57" s="97">
        <v>12.842000000000001</v>
      </c>
      <c r="L57" s="72"/>
      <c r="M57" s="97">
        <v>9.7449999999999992</v>
      </c>
      <c r="N57" s="97">
        <v>10.257</v>
      </c>
    </row>
    <row r="58" spans="2:14" x14ac:dyDescent="0.3">
      <c r="B58" s="648"/>
      <c r="C58" s="94" t="s">
        <v>1394</v>
      </c>
      <c r="D58" s="96">
        <v>2022</v>
      </c>
      <c r="E58" s="97">
        <v>43.896000000000001</v>
      </c>
      <c r="F58" s="97">
        <v>46.207000000000001</v>
      </c>
      <c r="G58" s="97">
        <v>800.64099999999996</v>
      </c>
      <c r="H58" s="97">
        <v>1249</v>
      </c>
      <c r="I58" s="72"/>
      <c r="J58" s="97">
        <v>12.193</v>
      </c>
      <c r="K58" s="97">
        <v>12.835000000000001</v>
      </c>
      <c r="L58" s="72"/>
      <c r="M58" s="97">
        <v>9.7629999999999999</v>
      </c>
      <c r="N58" s="97">
        <v>10.276</v>
      </c>
    </row>
    <row r="59" spans="2:14" x14ac:dyDescent="0.3">
      <c r="B59" s="648"/>
      <c r="C59" s="94" t="s">
        <v>1395</v>
      </c>
      <c r="D59" s="96">
        <v>2022</v>
      </c>
      <c r="E59" s="97">
        <v>45.3</v>
      </c>
      <c r="F59" s="97">
        <v>49.1</v>
      </c>
      <c r="G59" s="97">
        <v>574.71299999999997</v>
      </c>
      <c r="H59" s="97">
        <v>1740</v>
      </c>
      <c r="I59" s="72"/>
      <c r="J59" s="97">
        <v>12.583</v>
      </c>
      <c r="K59" s="97">
        <v>13.638999999999999</v>
      </c>
      <c r="L59" s="72"/>
      <c r="M59" s="97">
        <v>7.2320000000000002</v>
      </c>
      <c r="N59" s="97">
        <v>7.8380000000000001</v>
      </c>
    </row>
    <row r="60" spans="2:14" x14ac:dyDescent="0.3">
      <c r="B60" s="648"/>
      <c r="C60" s="94" t="s">
        <v>1396</v>
      </c>
      <c r="D60" s="96">
        <v>2022</v>
      </c>
      <c r="E60" s="97">
        <v>28.613</v>
      </c>
      <c r="F60" s="97">
        <v>30.119</v>
      </c>
      <c r="G60" s="97">
        <v>850</v>
      </c>
      <c r="H60" s="97">
        <v>1176.471</v>
      </c>
      <c r="I60" s="72"/>
      <c r="J60" s="97">
        <v>7.9480000000000004</v>
      </c>
      <c r="K60" s="97">
        <v>8.3659999999999997</v>
      </c>
      <c r="L60" s="72"/>
      <c r="M60" s="97">
        <v>6.7560000000000002</v>
      </c>
      <c r="N60" s="97">
        <v>7.1109999999999998</v>
      </c>
    </row>
    <row r="61" spans="2:14" x14ac:dyDescent="0.3">
      <c r="B61" s="648"/>
      <c r="C61" s="94" t="s">
        <v>1397</v>
      </c>
      <c r="D61" s="96">
        <v>2022</v>
      </c>
      <c r="E61" s="97">
        <v>24.166</v>
      </c>
      <c r="F61" s="97">
        <v>25.437999999999999</v>
      </c>
      <c r="G61" s="98"/>
      <c r="H61" s="98"/>
      <c r="I61" s="72"/>
      <c r="J61" s="97">
        <v>6.7130000000000001</v>
      </c>
      <c r="K61" s="97">
        <v>7.0659999999999998</v>
      </c>
      <c r="L61" s="72"/>
      <c r="M61" s="98"/>
      <c r="N61" s="99"/>
    </row>
    <row r="62" spans="2:14" ht="26" x14ac:dyDescent="0.3">
      <c r="B62" s="648"/>
      <c r="C62" s="94" t="s">
        <v>1398</v>
      </c>
      <c r="D62" s="96">
        <v>2022</v>
      </c>
      <c r="E62" s="97">
        <v>24.128</v>
      </c>
      <c r="F62" s="97">
        <v>25.398</v>
      </c>
      <c r="G62" s="98"/>
      <c r="H62" s="98"/>
      <c r="I62" s="72"/>
      <c r="J62" s="97">
        <v>6.702</v>
      </c>
      <c r="K62" s="97">
        <v>7.0549999999999997</v>
      </c>
      <c r="L62" s="72"/>
      <c r="M62" s="98"/>
      <c r="N62" s="99"/>
    </row>
    <row r="63" spans="2:14" x14ac:dyDescent="0.3">
      <c r="B63" s="648"/>
      <c r="C63" s="94" t="s">
        <v>1399</v>
      </c>
      <c r="D63" s="96">
        <v>2022</v>
      </c>
      <c r="E63" s="97">
        <v>25.405000000000001</v>
      </c>
      <c r="F63" s="97">
        <v>26.742000000000001</v>
      </c>
      <c r="G63" s="98"/>
      <c r="H63" s="98"/>
      <c r="I63" s="72"/>
      <c r="J63" s="97">
        <v>7.0570000000000004</v>
      </c>
      <c r="K63" s="97">
        <v>7.4279999999999999</v>
      </c>
      <c r="L63" s="72"/>
      <c r="M63" s="98"/>
      <c r="N63" s="99"/>
    </row>
    <row r="64" spans="2:14" x14ac:dyDescent="0.3">
      <c r="B64" s="648"/>
      <c r="C64" s="94" t="s">
        <v>1400</v>
      </c>
      <c r="D64" s="96">
        <v>2022</v>
      </c>
      <c r="E64" s="97">
        <v>30.24</v>
      </c>
      <c r="F64" s="97">
        <v>31.832000000000001</v>
      </c>
      <c r="G64" s="98"/>
      <c r="H64" s="98"/>
      <c r="I64" s="72"/>
      <c r="J64" s="97">
        <v>8.4</v>
      </c>
      <c r="K64" s="97">
        <v>8.8420000000000005</v>
      </c>
      <c r="L64" s="72"/>
      <c r="M64" s="98"/>
      <c r="N64" s="99"/>
    </row>
    <row r="65" spans="2:14" x14ac:dyDescent="0.3">
      <c r="B65" s="648"/>
      <c r="C65" s="94" t="s">
        <v>1401</v>
      </c>
      <c r="D65" s="96">
        <v>2022</v>
      </c>
      <c r="E65" s="97">
        <v>42.881999999999998</v>
      </c>
      <c r="F65" s="97">
        <v>45.619</v>
      </c>
      <c r="G65" s="97">
        <v>841.04300000000001</v>
      </c>
      <c r="H65" s="97">
        <v>1189</v>
      </c>
      <c r="I65" s="72"/>
      <c r="J65" s="97">
        <v>11.912000000000001</v>
      </c>
      <c r="K65" s="97">
        <v>12.672000000000001</v>
      </c>
      <c r="L65" s="72"/>
      <c r="M65" s="97">
        <v>10.018000000000001</v>
      </c>
      <c r="N65" s="97">
        <v>10.657999999999999</v>
      </c>
    </row>
    <row r="66" spans="2:14" x14ac:dyDescent="0.3">
      <c r="B66" s="648"/>
      <c r="C66" s="94" t="s">
        <v>1402</v>
      </c>
      <c r="D66" s="96">
        <v>2022</v>
      </c>
      <c r="E66" s="97">
        <v>42.601999999999997</v>
      </c>
      <c r="F66" s="97">
        <v>45.277999999999999</v>
      </c>
      <c r="G66" s="97">
        <v>843.32799999999997</v>
      </c>
      <c r="H66" s="97">
        <v>1185.779</v>
      </c>
      <c r="I66" s="72"/>
      <c r="J66" s="97">
        <v>11.834</v>
      </c>
      <c r="K66" s="97">
        <v>12.577</v>
      </c>
      <c r="L66" s="72"/>
      <c r="M66" s="97">
        <v>9.98</v>
      </c>
      <c r="N66" s="97">
        <v>10.606999999999999</v>
      </c>
    </row>
    <row r="67" spans="2:14" x14ac:dyDescent="0.3">
      <c r="B67" s="648"/>
      <c r="C67" s="94" t="s">
        <v>1403</v>
      </c>
      <c r="D67" s="96">
        <v>2022</v>
      </c>
      <c r="E67" s="97">
        <v>40.725999999999999</v>
      </c>
      <c r="F67" s="97">
        <v>43.325000000000003</v>
      </c>
      <c r="G67" s="97">
        <v>984.25199999999995</v>
      </c>
      <c r="H67" s="97">
        <v>1016</v>
      </c>
      <c r="I67" s="72"/>
      <c r="J67" s="97">
        <v>11.313000000000001</v>
      </c>
      <c r="K67" s="97">
        <v>12.035</v>
      </c>
      <c r="L67" s="72"/>
      <c r="M67" s="97">
        <v>11.135</v>
      </c>
      <c r="N67" s="97">
        <v>11.845000000000001</v>
      </c>
    </row>
    <row r="68" spans="2:14" x14ac:dyDescent="0.3">
      <c r="B68" s="648"/>
      <c r="C68" s="94" t="s">
        <v>1404</v>
      </c>
      <c r="D68" s="96">
        <v>2022</v>
      </c>
      <c r="E68" s="97">
        <v>42.569000000000003</v>
      </c>
      <c r="F68" s="97">
        <v>45.286000000000001</v>
      </c>
      <c r="G68" s="97">
        <v>844.59500000000003</v>
      </c>
      <c r="H68" s="97">
        <v>1184</v>
      </c>
      <c r="I68" s="72"/>
      <c r="J68" s="97">
        <v>11.824999999999999</v>
      </c>
      <c r="K68" s="97">
        <v>12.579000000000001</v>
      </c>
      <c r="L68" s="72"/>
      <c r="M68" s="97">
        <v>9.9870000000000001</v>
      </c>
      <c r="N68" s="97">
        <v>10.625</v>
      </c>
    </row>
    <row r="69" spans="2:14" x14ac:dyDescent="0.3">
      <c r="B69" s="648"/>
      <c r="C69" s="94" t="s">
        <v>1405</v>
      </c>
      <c r="D69" s="96">
        <v>2022</v>
      </c>
      <c r="E69" s="97">
        <v>40.725999999999999</v>
      </c>
      <c r="F69" s="97">
        <v>43.325000000000003</v>
      </c>
      <c r="G69" s="97">
        <v>865.80100000000004</v>
      </c>
      <c r="H69" s="97">
        <v>1155</v>
      </c>
      <c r="I69" s="72"/>
      <c r="J69" s="97">
        <v>11.313000000000001</v>
      </c>
      <c r="K69" s="97">
        <v>12.035</v>
      </c>
      <c r="L69" s="72"/>
      <c r="M69" s="97">
        <v>9.7949999999999999</v>
      </c>
      <c r="N69" s="97">
        <v>10.42</v>
      </c>
    </row>
    <row r="70" spans="2:14" x14ac:dyDescent="0.3">
      <c r="B70" s="648"/>
      <c r="C70" s="94" t="s">
        <v>96</v>
      </c>
      <c r="D70" s="96">
        <v>2022</v>
      </c>
      <c r="E70" s="97">
        <v>45.944000000000003</v>
      </c>
      <c r="F70" s="97">
        <v>49.332999999999998</v>
      </c>
      <c r="G70" s="97">
        <v>529.70500000000004</v>
      </c>
      <c r="H70" s="97">
        <v>1887.8430000000001</v>
      </c>
      <c r="I70" s="72"/>
      <c r="J70" s="97">
        <v>12.762</v>
      </c>
      <c r="K70" s="97">
        <v>13.704000000000001</v>
      </c>
      <c r="L70" s="72"/>
      <c r="M70" s="97">
        <v>6.76</v>
      </c>
      <c r="N70" s="97">
        <v>7.2590000000000003</v>
      </c>
    </row>
    <row r="71" spans="2:14" x14ac:dyDescent="0.3">
      <c r="B71" s="648"/>
      <c r="C71" s="94" t="s">
        <v>1406</v>
      </c>
      <c r="D71" s="96">
        <v>2022</v>
      </c>
      <c r="E71" s="97">
        <v>45.46</v>
      </c>
      <c r="F71" s="97">
        <v>47.853000000000002</v>
      </c>
      <c r="G71" s="97">
        <v>673.40099999999995</v>
      </c>
      <c r="H71" s="97">
        <v>1485</v>
      </c>
      <c r="I71" s="72"/>
      <c r="J71" s="97">
        <v>12.628</v>
      </c>
      <c r="K71" s="97">
        <v>13.292</v>
      </c>
      <c r="L71" s="72"/>
      <c r="M71" s="97">
        <v>8.5039999999999996</v>
      </c>
      <c r="N71" s="97">
        <v>8.9510000000000005</v>
      </c>
    </row>
    <row r="72" spans="2:14" x14ac:dyDescent="0.3">
      <c r="B72" s="648"/>
      <c r="C72" s="94" t="s">
        <v>1407</v>
      </c>
      <c r="D72" s="96">
        <v>2022</v>
      </c>
      <c r="E72" s="97">
        <v>45.195</v>
      </c>
      <c r="F72" s="97">
        <v>50.08</v>
      </c>
      <c r="G72" s="97">
        <v>0.79400000000000004</v>
      </c>
      <c r="H72" s="97">
        <v>1259723.9269999999</v>
      </c>
      <c r="I72" s="72"/>
      <c r="J72" s="97">
        <v>12.554</v>
      </c>
      <c r="K72" s="97">
        <v>13.911</v>
      </c>
      <c r="L72" s="72"/>
      <c r="M72" s="97">
        <v>0.01</v>
      </c>
      <c r="N72" s="97">
        <v>1.0999999999999999E-2</v>
      </c>
    </row>
    <row r="73" spans="2:14" x14ac:dyDescent="0.3">
      <c r="B73" s="648"/>
      <c r="C73" s="94" t="s">
        <v>1408</v>
      </c>
      <c r="D73" s="96">
        <v>2022</v>
      </c>
      <c r="E73" s="97">
        <v>45.195</v>
      </c>
      <c r="F73" s="97">
        <v>50.08</v>
      </c>
      <c r="G73" s="97">
        <v>0.79400000000000004</v>
      </c>
      <c r="H73" s="97">
        <v>1259723.9269999999</v>
      </c>
      <c r="I73" s="72"/>
      <c r="J73" s="97">
        <v>12.554</v>
      </c>
      <c r="K73" s="97">
        <v>13.911</v>
      </c>
      <c r="L73" s="72"/>
      <c r="M73" s="97">
        <v>0.01</v>
      </c>
      <c r="N73" s="97">
        <v>1.0999999999999999E-2</v>
      </c>
    </row>
    <row r="74" spans="2:14" x14ac:dyDescent="0.3">
      <c r="B74" s="648"/>
      <c r="C74" s="94" t="s">
        <v>1409</v>
      </c>
      <c r="D74" s="96">
        <v>2022</v>
      </c>
      <c r="E74" s="97">
        <v>46.601999999999997</v>
      </c>
      <c r="F74" s="97">
        <v>50.654000000000003</v>
      </c>
      <c r="G74" s="97">
        <v>366.3</v>
      </c>
      <c r="H74" s="97">
        <v>2730</v>
      </c>
      <c r="I74" s="72"/>
      <c r="J74" s="97">
        <v>12.945</v>
      </c>
      <c r="K74" s="97">
        <v>14.071</v>
      </c>
      <c r="L74" s="72"/>
      <c r="M74" s="97">
        <v>4.742</v>
      </c>
      <c r="N74" s="97">
        <v>5.1539999999999999</v>
      </c>
    </row>
    <row r="75" spans="2:14" x14ac:dyDescent="0.3">
      <c r="B75" s="648"/>
      <c r="C75" s="94" t="s">
        <v>1410</v>
      </c>
      <c r="D75" s="96">
        <v>2022</v>
      </c>
      <c r="E75" s="97">
        <v>33.972000000000001</v>
      </c>
      <c r="F75" s="97">
        <v>35.76</v>
      </c>
      <c r="G75" s="98"/>
      <c r="H75" s="98"/>
      <c r="I75" s="72"/>
      <c r="J75" s="97">
        <v>9.4369999999999994</v>
      </c>
      <c r="K75" s="97">
        <v>9.9329999999999998</v>
      </c>
      <c r="L75" s="72"/>
      <c r="M75" s="99"/>
      <c r="N75" s="99"/>
    </row>
    <row r="76" spans="2:14" x14ac:dyDescent="0.3">
      <c r="B76" s="648"/>
      <c r="C76" s="94" t="s">
        <v>1411</v>
      </c>
      <c r="D76" s="96">
        <v>2022</v>
      </c>
      <c r="E76" s="97">
        <v>44.652000000000001</v>
      </c>
      <c r="F76" s="97">
        <v>47.003</v>
      </c>
      <c r="G76" s="97">
        <v>741.84</v>
      </c>
      <c r="H76" s="97">
        <v>1348</v>
      </c>
      <c r="I76" s="72"/>
      <c r="J76" s="97">
        <v>12.403</v>
      </c>
      <c r="K76" s="97">
        <v>13.055999999999999</v>
      </c>
      <c r="L76" s="72"/>
      <c r="M76" s="97">
        <v>9.2010000000000005</v>
      </c>
      <c r="N76" s="97">
        <v>9.6859999999999999</v>
      </c>
    </row>
    <row r="77" spans="2:14" x14ac:dyDescent="0.3">
      <c r="B77" s="648"/>
      <c r="C77" s="94" t="s">
        <v>1412</v>
      </c>
      <c r="D77" s="96">
        <v>2022</v>
      </c>
      <c r="E77" s="97">
        <v>43.616</v>
      </c>
      <c r="F77" s="97">
        <v>45.997999999999998</v>
      </c>
      <c r="G77" s="97">
        <v>744.67899999999997</v>
      </c>
      <c r="H77" s="97">
        <v>1342.86</v>
      </c>
      <c r="I77" s="72"/>
      <c r="J77" s="97">
        <v>12.116</v>
      </c>
      <c r="K77" s="97">
        <v>12.776999999999999</v>
      </c>
      <c r="L77" s="72"/>
      <c r="M77" s="97">
        <v>9.0220000000000002</v>
      </c>
      <c r="N77" s="97">
        <v>9.5150000000000006</v>
      </c>
    </row>
    <row r="78" spans="2:14" x14ac:dyDescent="0.3">
      <c r="B78" s="648"/>
      <c r="C78" s="94" t="s">
        <v>401</v>
      </c>
      <c r="D78" s="96">
        <v>2022</v>
      </c>
      <c r="E78" s="97">
        <v>46.4</v>
      </c>
      <c r="F78" s="97">
        <v>50.4</v>
      </c>
      <c r="G78" s="97">
        <v>514.40300000000002</v>
      </c>
      <c r="H78" s="97">
        <v>1944</v>
      </c>
      <c r="I78" s="72"/>
      <c r="J78" s="97">
        <v>12.888999999999999</v>
      </c>
      <c r="K78" s="97">
        <v>14</v>
      </c>
      <c r="L78" s="72"/>
      <c r="M78" s="97">
        <v>6.63</v>
      </c>
      <c r="N78" s="97">
        <v>7.202</v>
      </c>
    </row>
    <row r="79" spans="2:14" x14ac:dyDescent="0.3">
      <c r="B79" s="648"/>
      <c r="C79" s="94" t="s">
        <v>1413</v>
      </c>
      <c r="D79" s="96">
        <v>2022</v>
      </c>
      <c r="E79" s="97">
        <v>42.207999999999998</v>
      </c>
      <c r="F79" s="100">
        <v>45.2</v>
      </c>
      <c r="G79" s="101">
        <v>844.59500000000003</v>
      </c>
      <c r="H79" s="97">
        <v>1184</v>
      </c>
      <c r="I79" s="72"/>
      <c r="J79" s="97">
        <v>11.724</v>
      </c>
      <c r="K79" s="100">
        <v>12.555999999999999</v>
      </c>
      <c r="L79" s="72"/>
      <c r="M79" s="97">
        <v>9.9019999999999992</v>
      </c>
      <c r="N79" s="100">
        <v>10.603999999999999</v>
      </c>
    </row>
    <row r="80" spans="2:14" x14ac:dyDescent="0.3">
      <c r="B80" s="72"/>
      <c r="C80" s="102"/>
      <c r="D80" s="103"/>
      <c r="E80" s="104"/>
      <c r="F80" s="104"/>
      <c r="G80" s="105"/>
      <c r="H80" s="106"/>
      <c r="I80" s="72"/>
      <c r="J80" s="104"/>
      <c r="K80" s="104"/>
      <c r="L80" s="72"/>
      <c r="M80" s="72"/>
      <c r="N80" s="72"/>
    </row>
    <row r="81" spans="2:14" x14ac:dyDescent="0.3">
      <c r="B81" s="72"/>
      <c r="C81" s="655"/>
      <c r="D81" s="94" t="s">
        <v>366</v>
      </c>
      <c r="E81" s="94" t="s">
        <v>1382</v>
      </c>
      <c r="F81" s="94" t="s">
        <v>1383</v>
      </c>
      <c r="G81" s="94" t="s">
        <v>1384</v>
      </c>
      <c r="H81" s="94" t="s">
        <v>1385</v>
      </c>
      <c r="I81" s="72"/>
      <c r="J81" s="94" t="s">
        <v>1382</v>
      </c>
      <c r="K81" s="94" t="s">
        <v>1383</v>
      </c>
      <c r="L81" s="72"/>
      <c r="M81" s="94" t="s">
        <v>1382</v>
      </c>
      <c r="N81" s="94" t="s">
        <v>1383</v>
      </c>
    </row>
    <row r="82" spans="2:14" x14ac:dyDescent="0.3">
      <c r="B82" s="72"/>
      <c r="C82" s="655"/>
      <c r="D82" s="95"/>
      <c r="E82" s="95" t="s">
        <v>1386</v>
      </c>
      <c r="F82" s="95" t="s">
        <v>1386</v>
      </c>
      <c r="G82" s="95" t="s">
        <v>1387</v>
      </c>
      <c r="H82" s="107" t="s">
        <v>1388</v>
      </c>
      <c r="I82" s="72"/>
      <c r="J82" s="94" t="s">
        <v>1389</v>
      </c>
      <c r="K82" s="94" t="s">
        <v>1389</v>
      </c>
      <c r="L82" s="72"/>
      <c r="M82" s="94" t="s">
        <v>1390</v>
      </c>
      <c r="N82" s="94" t="s">
        <v>1390</v>
      </c>
    </row>
    <row r="83" spans="2:14" x14ac:dyDescent="0.3">
      <c r="B83" s="648" t="s">
        <v>1414</v>
      </c>
      <c r="C83" s="94" t="s">
        <v>1415</v>
      </c>
      <c r="D83" s="96">
        <v>2022</v>
      </c>
      <c r="E83" s="97">
        <v>37.200000000000003</v>
      </c>
      <c r="F83" s="97">
        <v>38.700000000000003</v>
      </c>
      <c r="G83" s="97">
        <v>890</v>
      </c>
      <c r="H83" s="108">
        <v>1123.596</v>
      </c>
      <c r="I83" s="109"/>
      <c r="J83" s="97">
        <v>10.333</v>
      </c>
      <c r="K83" s="97">
        <v>10.75</v>
      </c>
      <c r="L83" s="72"/>
      <c r="M83" s="97">
        <v>9.1969999999999992</v>
      </c>
      <c r="N83" s="97">
        <v>9.5679999999999996</v>
      </c>
    </row>
    <row r="84" spans="2:14" x14ac:dyDescent="0.3">
      <c r="B84" s="648"/>
      <c r="C84" s="94" t="s">
        <v>1416</v>
      </c>
      <c r="D84" s="96">
        <v>2022</v>
      </c>
      <c r="E84" s="97">
        <v>44</v>
      </c>
      <c r="F84" s="97">
        <v>45.832999999999998</v>
      </c>
      <c r="G84" s="97">
        <v>780</v>
      </c>
      <c r="H84" s="108">
        <v>1282.0509999999999</v>
      </c>
      <c r="I84" s="109"/>
      <c r="J84" s="97">
        <v>12.222</v>
      </c>
      <c r="K84" s="97">
        <v>12.731</v>
      </c>
      <c r="L84" s="72"/>
      <c r="M84" s="97">
        <v>9.5329999999999995</v>
      </c>
      <c r="N84" s="97">
        <v>9.9309999999999992</v>
      </c>
    </row>
    <row r="85" spans="2:14" x14ac:dyDescent="0.3">
      <c r="B85" s="648"/>
      <c r="C85" s="94" t="s">
        <v>1417</v>
      </c>
      <c r="D85" s="96">
        <v>2022</v>
      </c>
      <c r="E85" s="97">
        <v>26.8</v>
      </c>
      <c r="F85" s="97">
        <v>29.7</v>
      </c>
      <c r="G85" s="97">
        <v>794</v>
      </c>
      <c r="H85" s="108">
        <v>1259.4459999999999</v>
      </c>
      <c r="I85" s="109"/>
      <c r="J85" s="97">
        <v>7.444</v>
      </c>
      <c r="K85" s="97">
        <v>8.25</v>
      </c>
      <c r="L85" s="72"/>
      <c r="M85" s="97">
        <v>5.9109999999999996</v>
      </c>
      <c r="N85" s="97">
        <v>6.5510000000000002</v>
      </c>
    </row>
    <row r="86" spans="2:14" x14ac:dyDescent="0.3">
      <c r="B86" s="648"/>
      <c r="C86" s="94" t="s">
        <v>1418</v>
      </c>
      <c r="D86" s="96">
        <v>2022</v>
      </c>
      <c r="E86" s="97">
        <v>36.299999999999997</v>
      </c>
      <c r="F86" s="97">
        <v>39.628999999999998</v>
      </c>
      <c r="G86" s="97">
        <v>750</v>
      </c>
      <c r="H86" s="108">
        <v>1333.3330000000001</v>
      </c>
      <c r="I86" s="109"/>
      <c r="J86" s="97">
        <v>10.083</v>
      </c>
      <c r="K86" s="97">
        <v>11.007999999999999</v>
      </c>
      <c r="L86" s="72"/>
      <c r="M86" s="97">
        <v>7.5629999999999997</v>
      </c>
      <c r="N86" s="97">
        <v>8.2560000000000002</v>
      </c>
    </row>
    <row r="87" spans="2:14" x14ac:dyDescent="0.3">
      <c r="B87" s="648"/>
      <c r="C87" s="94" t="s">
        <v>1419</v>
      </c>
      <c r="D87" s="96">
        <v>2022</v>
      </c>
      <c r="E87" s="97">
        <v>20</v>
      </c>
      <c r="F87" s="97">
        <v>21.978000000000002</v>
      </c>
      <c r="G87" s="97">
        <v>1.1499999999999999</v>
      </c>
      <c r="H87" s="108">
        <v>869565.21699999995</v>
      </c>
      <c r="I87" s="109"/>
      <c r="J87" s="97">
        <v>5.556</v>
      </c>
      <c r="K87" s="97">
        <v>6.1050000000000004</v>
      </c>
      <c r="L87" s="72"/>
      <c r="M87" s="97">
        <v>6.0000000000000001E-3</v>
      </c>
      <c r="N87" s="97">
        <v>7.0000000000000001E-3</v>
      </c>
    </row>
    <row r="88" spans="2:14" x14ac:dyDescent="0.3">
      <c r="B88" s="648"/>
      <c r="C88" s="94" t="s">
        <v>1420</v>
      </c>
      <c r="D88" s="96">
        <v>2022</v>
      </c>
      <c r="E88" s="97">
        <v>49</v>
      </c>
      <c r="F88" s="97">
        <v>54.296999999999997</v>
      </c>
      <c r="G88" s="97">
        <v>0.72499999999999998</v>
      </c>
      <c r="H88" s="108">
        <v>1379355.673</v>
      </c>
      <c r="I88" s="109"/>
      <c r="J88" s="97">
        <v>13.611000000000001</v>
      </c>
      <c r="K88" s="97">
        <v>15.082000000000001</v>
      </c>
      <c r="L88" s="72"/>
      <c r="M88" s="97">
        <v>0.01</v>
      </c>
      <c r="N88" s="97">
        <v>1.0999999999999999E-2</v>
      </c>
    </row>
    <row r="89" spans="2:14" x14ac:dyDescent="0.3">
      <c r="B89" s="648"/>
      <c r="C89" s="94" t="s">
        <v>121</v>
      </c>
      <c r="D89" s="96">
        <v>2022</v>
      </c>
      <c r="E89" s="97">
        <v>45.195</v>
      </c>
      <c r="F89" s="97">
        <v>50.08</v>
      </c>
      <c r="G89" s="97">
        <v>175</v>
      </c>
      <c r="H89" s="108">
        <v>5714.2860000000001</v>
      </c>
      <c r="I89" s="109"/>
      <c r="J89" s="97">
        <v>12.554</v>
      </c>
      <c r="K89" s="97">
        <v>13.911</v>
      </c>
      <c r="L89" s="72"/>
      <c r="M89" s="97">
        <v>2.1970000000000001</v>
      </c>
      <c r="N89" s="97">
        <v>2.4340000000000002</v>
      </c>
    </row>
    <row r="90" spans="2:14" x14ac:dyDescent="0.3">
      <c r="B90" s="648"/>
      <c r="C90" s="94" t="s">
        <v>1421</v>
      </c>
      <c r="D90" s="96">
        <v>2022</v>
      </c>
      <c r="E90" s="97">
        <v>13.388</v>
      </c>
      <c r="F90" s="97">
        <v>15.75</v>
      </c>
      <c r="G90" s="97">
        <v>160</v>
      </c>
      <c r="H90" s="108">
        <v>6250</v>
      </c>
      <c r="I90" s="109"/>
      <c r="J90" s="97">
        <v>3.7189999999999999</v>
      </c>
      <c r="K90" s="97">
        <v>4.375</v>
      </c>
      <c r="L90" s="72"/>
      <c r="M90" s="99"/>
      <c r="N90" s="99"/>
    </row>
    <row r="91" spans="2:14" x14ac:dyDescent="0.3">
      <c r="B91" s="648"/>
      <c r="C91" s="94" t="s">
        <v>1422</v>
      </c>
      <c r="D91" s="96">
        <v>2022</v>
      </c>
      <c r="E91" s="97">
        <v>12.3</v>
      </c>
      <c r="F91" s="97">
        <v>13.516</v>
      </c>
      <c r="G91" s="97">
        <v>1.3</v>
      </c>
      <c r="H91" s="108">
        <v>769230.76899999997</v>
      </c>
      <c r="I91" s="109"/>
      <c r="J91" s="97">
        <v>3.4169999999999998</v>
      </c>
      <c r="K91" s="97">
        <v>3.7549999999999999</v>
      </c>
      <c r="L91" s="72"/>
      <c r="M91" s="97">
        <v>4.0000000000000001E-3</v>
      </c>
      <c r="N91" s="97">
        <v>5.0000000000000001E-3</v>
      </c>
    </row>
    <row r="92" spans="2:14" x14ac:dyDescent="0.3">
      <c r="B92" s="648"/>
      <c r="C92" s="94" t="s">
        <v>119</v>
      </c>
      <c r="D92" s="96">
        <v>2022</v>
      </c>
      <c r="E92" s="97">
        <v>45.195</v>
      </c>
      <c r="F92" s="97">
        <v>50.08</v>
      </c>
      <c r="G92" s="97">
        <v>452.48899999999998</v>
      </c>
      <c r="H92" s="108">
        <v>2210</v>
      </c>
      <c r="I92" s="109"/>
      <c r="J92" s="97">
        <v>12.554</v>
      </c>
      <c r="K92" s="97">
        <v>13.911</v>
      </c>
      <c r="L92" s="72"/>
      <c r="M92" s="97">
        <v>5.681</v>
      </c>
      <c r="N92" s="97">
        <v>6.2949999999999999</v>
      </c>
    </row>
    <row r="93" spans="2:14" x14ac:dyDescent="0.3">
      <c r="B93" s="648"/>
      <c r="C93" s="94" t="s">
        <v>1423</v>
      </c>
      <c r="D93" s="96">
        <v>2022</v>
      </c>
      <c r="E93" s="97">
        <v>13.6</v>
      </c>
      <c r="F93" s="97">
        <v>14.712999999999999</v>
      </c>
      <c r="G93" s="97">
        <v>253</v>
      </c>
      <c r="H93" s="108">
        <v>3952.569</v>
      </c>
      <c r="I93" s="72"/>
      <c r="J93" s="97">
        <v>3.778</v>
      </c>
      <c r="K93" s="97">
        <v>4.0869999999999997</v>
      </c>
      <c r="L93" s="72"/>
      <c r="M93" s="98"/>
      <c r="N93" s="99"/>
    </row>
    <row r="94" spans="2:14" x14ac:dyDescent="0.3">
      <c r="B94" s="648"/>
      <c r="C94" s="94" t="s">
        <v>1424</v>
      </c>
      <c r="D94" s="96">
        <v>2022</v>
      </c>
      <c r="E94" s="97">
        <v>14.71</v>
      </c>
      <c r="F94" s="97">
        <v>16.256</v>
      </c>
      <c r="G94" s="97">
        <v>425</v>
      </c>
      <c r="H94" s="108">
        <v>2352.9409999999998</v>
      </c>
      <c r="I94" s="72"/>
      <c r="J94" s="97">
        <v>4.0860000000000003</v>
      </c>
      <c r="K94" s="97">
        <v>4.516</v>
      </c>
      <c r="L94" s="72"/>
      <c r="M94" s="98"/>
      <c r="N94" s="99"/>
    </row>
    <row r="95" spans="2:14" x14ac:dyDescent="0.3">
      <c r="B95" s="648"/>
      <c r="C95" s="94" t="s">
        <v>1425</v>
      </c>
      <c r="D95" s="96">
        <v>2022</v>
      </c>
      <c r="E95" s="97">
        <v>17.28</v>
      </c>
      <c r="F95" s="97">
        <v>18.693999999999999</v>
      </c>
      <c r="G95" s="110">
        <v>650</v>
      </c>
      <c r="H95" s="101">
        <v>1538.462</v>
      </c>
      <c r="I95" s="72"/>
      <c r="J95" s="97">
        <v>4.8</v>
      </c>
      <c r="K95" s="97">
        <v>5.1929999999999996</v>
      </c>
      <c r="L95" s="72"/>
      <c r="M95" s="111"/>
      <c r="N95" s="111"/>
    </row>
    <row r="96" spans="2:14" x14ac:dyDescent="0.3">
      <c r="B96" s="72"/>
      <c r="C96" s="114"/>
      <c r="D96" s="106"/>
      <c r="E96" s="72"/>
      <c r="F96" s="72"/>
      <c r="G96" s="72"/>
      <c r="H96" s="112"/>
      <c r="I96" s="72"/>
      <c r="J96" s="72"/>
      <c r="K96" s="72"/>
      <c r="L96" s="72"/>
      <c r="M96" s="72"/>
      <c r="N96" s="72"/>
    </row>
    <row r="97" spans="2:14" x14ac:dyDescent="0.3">
      <c r="B97" s="72"/>
      <c r="C97" s="655"/>
      <c r="D97" s="94" t="s">
        <v>366</v>
      </c>
      <c r="E97" s="94" t="s">
        <v>1382</v>
      </c>
      <c r="F97" s="94" t="s">
        <v>1383</v>
      </c>
      <c r="G97" s="94" t="s">
        <v>1384</v>
      </c>
      <c r="H97" s="94" t="s">
        <v>1385</v>
      </c>
      <c r="I97" s="72"/>
      <c r="J97" s="94" t="s">
        <v>1382</v>
      </c>
      <c r="K97" s="94" t="s">
        <v>1383</v>
      </c>
      <c r="L97" s="72"/>
      <c r="M97" s="94" t="s">
        <v>1382</v>
      </c>
      <c r="N97" s="94" t="s">
        <v>1383</v>
      </c>
    </row>
    <row r="98" spans="2:14" x14ac:dyDescent="0.3">
      <c r="B98" s="72"/>
      <c r="C98" s="655"/>
      <c r="D98" s="95"/>
      <c r="E98" s="95" t="s">
        <v>1386</v>
      </c>
      <c r="F98" s="95" t="s">
        <v>1386</v>
      </c>
      <c r="G98" s="95" t="s">
        <v>1387</v>
      </c>
      <c r="H98" s="113" t="s">
        <v>1388</v>
      </c>
      <c r="I98" s="72"/>
      <c r="J98" s="94" t="s">
        <v>1389</v>
      </c>
      <c r="K98" s="94" t="s">
        <v>1389</v>
      </c>
      <c r="L98" s="72"/>
      <c r="M98" s="94" t="s">
        <v>1390</v>
      </c>
      <c r="N98" s="94" t="s">
        <v>1390</v>
      </c>
    </row>
    <row r="99" spans="2:14" ht="15" x14ac:dyDescent="0.3">
      <c r="B99" s="648" t="s">
        <v>1426</v>
      </c>
      <c r="C99" s="94" t="s">
        <v>1427</v>
      </c>
      <c r="D99" s="96">
        <v>2022</v>
      </c>
      <c r="E99" s="97">
        <v>50</v>
      </c>
      <c r="F99" s="97">
        <v>55.405000000000001</v>
      </c>
      <c r="G99" s="97">
        <v>0.71599999999999997</v>
      </c>
      <c r="H99" s="108">
        <v>1397112.108</v>
      </c>
      <c r="I99" s="72"/>
      <c r="J99" s="97">
        <v>13.888999999999999</v>
      </c>
      <c r="K99" s="97">
        <v>15.39</v>
      </c>
      <c r="L99" s="72"/>
      <c r="M99" s="97">
        <v>0.01</v>
      </c>
      <c r="N99" s="97">
        <v>1.0999999999999999E-2</v>
      </c>
    </row>
    <row r="100" spans="2:14" ht="15" x14ac:dyDescent="0.3">
      <c r="B100" s="648"/>
      <c r="C100" s="94" t="s">
        <v>1428</v>
      </c>
      <c r="D100" s="96">
        <v>2022</v>
      </c>
      <c r="E100" s="97">
        <v>0</v>
      </c>
      <c r="F100" s="97">
        <v>0</v>
      </c>
      <c r="G100" s="110">
        <v>1.964</v>
      </c>
      <c r="H100" s="101">
        <v>509290.37800000003</v>
      </c>
      <c r="I100" s="72"/>
      <c r="J100" s="97">
        <v>0</v>
      </c>
      <c r="K100" s="97">
        <v>0</v>
      </c>
      <c r="L100" s="72"/>
      <c r="M100" s="97">
        <v>0</v>
      </c>
      <c r="N100" s="97">
        <v>0</v>
      </c>
    </row>
    <row r="102" spans="2:14" x14ac:dyDescent="0.3">
      <c r="B102" s="649" t="s">
        <v>1429</v>
      </c>
      <c r="C102" s="650"/>
      <c r="D102" s="650"/>
      <c r="E102" s="650"/>
      <c r="F102" s="650"/>
      <c r="G102" s="650"/>
      <c r="H102" s="650"/>
      <c r="I102" s="650"/>
      <c r="J102" s="650"/>
      <c r="K102" s="650"/>
      <c r="L102" s="650"/>
      <c r="M102" s="650"/>
      <c r="N102" s="651"/>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973345-CA8A-491A-B553-167EE9E7072F}">
  <ds:schemaRefs>
    <ds:schemaRef ds:uri="http://schemas.microsoft.com/sharepoint/v3/contenttype/forms"/>
  </ds:schemaRefs>
</ds:datastoreItem>
</file>

<file path=customXml/itemProps2.xml><?xml version="1.0" encoding="utf-8"?>
<ds:datastoreItem xmlns:ds="http://schemas.openxmlformats.org/officeDocument/2006/customXml" ds:itemID="{00641689-6414-4A98-AE98-98E7F18924E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C5B0DFB-FF50-4BE4-8E9F-C42327489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Ievads</vt:lpstr>
      <vt:lpstr>Informācija</vt:lpstr>
      <vt:lpstr>1. tvēruma emisijas</vt:lpstr>
      <vt:lpstr>2. tvēruma emisijas</vt:lpstr>
      <vt:lpstr>Ziņojums</vt:lpstr>
      <vt:lpstr>Back-end &gt;&gt;&gt;</vt:lpstr>
      <vt:lpstr>Calculations</vt:lpstr>
      <vt:lpstr>Carbon Factors</vt:lpstr>
      <vt:lpstr>Fuel prices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Muizniece, Katrina</cp:lastModifiedBy>
  <cp:revision/>
  <dcterms:created xsi:type="dcterms:W3CDTF">2023-07-14T08:28:33Z</dcterms:created>
  <dcterms:modified xsi:type="dcterms:W3CDTF">2025-04-29T10:23:51Z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0x010100E2F8345C2945544B844E7C4C8013C071</vt:lpwstr>
  </property>
  <property fmtid="{D5CDD505-2E9C-101B-9397-08002B2CF9AE}" pid="3" name="MediaServiceImageTags">
    <vt:lpwstr/>
  </property>
  <property fmtid="{D5CDD505-2E9C-101B-9397-08002B2CF9AE}" pid="4" name="Order">
    <vt:r8>19600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c1700bd3-ec36-4d7a-85de-98fe1183b709_Enabled">
    <vt:lpwstr>true</vt:lpwstr>
  </property>
  <property fmtid="{D5CDD505-2E9C-101B-9397-08002B2CF9AE}" pid="12" name="MSIP_Label_c1700bd3-ec36-4d7a-85de-98fe1183b709_SetDate">
    <vt:lpwstr>2025-04-29T10:23:46Z</vt:lpwstr>
  </property>
  <property fmtid="{D5CDD505-2E9C-101B-9397-08002B2CF9AE}" pid="13" name="MSIP_Label_c1700bd3-ec36-4d7a-85de-98fe1183b709_Method">
    <vt:lpwstr>Privileged</vt:lpwstr>
  </property>
  <property fmtid="{D5CDD505-2E9C-101B-9397-08002B2CF9AE}" pid="14" name="MSIP_Label_c1700bd3-ec36-4d7a-85de-98fe1183b709_Name">
    <vt:lpwstr>Public</vt:lpwstr>
  </property>
  <property fmtid="{D5CDD505-2E9C-101B-9397-08002B2CF9AE}" pid="15" name="MSIP_Label_c1700bd3-ec36-4d7a-85de-98fe1183b709_SiteId">
    <vt:lpwstr>5bdfb231-1958-42c0-8a9b-0cda186703b2</vt:lpwstr>
  </property>
  <property fmtid="{D5CDD505-2E9C-101B-9397-08002B2CF9AE}" pid="16" name="MSIP_Label_c1700bd3-ec36-4d7a-85de-98fe1183b709_ActionId">
    <vt:lpwstr>ab01d92d-bd99-48b7-b558-6b27047a00ec</vt:lpwstr>
  </property>
  <property fmtid="{D5CDD505-2E9C-101B-9397-08002B2CF9AE}" pid="17" name="MSIP_Label_c1700bd3-ec36-4d7a-85de-98fe1183b709_ContentBits">
    <vt:lpwstr>0</vt:lpwstr>
  </property>
</Properties>
</file>